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10.2.11.42\shougai\●05各グループフォルダ●\05⑤事業所指導第二グループ\03 処遇改善関係\01国通知\240327【厚労省障害部】福祉・介護職員等処遇改善加算等に関する基本的考え方並びに事務処理手順及び様式例の提示について\県HP公開\新加算分\"/>
    </mc:Choice>
  </mc:AlternateContent>
  <xr:revisionPtr revIDLastSave="0" documentId="13_ncr:1_{259AFCC3-9848-4DE0-AA22-92EAED292B4E}" xr6:coauthVersionLast="47" xr6:coauthVersionMax="47" xr10:uidLastSave="{00000000-0000-0000-0000-000000000000}"/>
  <bookViews>
    <workbookView xWindow="-120" yWindow="-120" windowWidth="20730" windowHeight="11160" xr2:uid="{00000000-000D-0000-FFFF-FFFF00000000}"/>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Y4" authorId="0" shapeId="0" xr:uid="{849FA1C2-6D03-42DE-8A7C-D4970DCA323B}">
      <text>
        <r>
          <rPr>
            <sz val="9"/>
            <color rgb="FF000000"/>
            <rFont val="MS P ゴシック"/>
            <family val="3"/>
            <charset val="128"/>
          </rPr>
          <t>必ずプルダウンで選択してください。</t>
        </r>
      </text>
    </comment>
    <comment ref="AE4" authorId="0" shapeId="0" xr:uid="{323D2B92-2DD9-4902-A684-35A5ED1A13FF}">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V9" authorId="1" shapeId="0" xr:uid="{48407096-B4D0-4608-878C-7F1DC9630B8C}">
      <text>
        <r>
          <rPr>
            <sz val="9"/>
            <color indexed="81"/>
            <rFont val="MS P ゴシック"/>
            <family val="3"/>
            <charset val="128"/>
          </rPr>
          <t>「新加算Ⅱ」が表示され、加算率が「エラー」と表示された場合は「新加算Ⅰ」と読み替えること。</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V12" authorId="1" shapeId="0" xr:uid="{5799AFFB-775E-4957-8DFA-CBD220132B72}">
      <text>
        <r>
          <rPr>
            <sz val="9"/>
            <color indexed="81"/>
            <rFont val="MS P ゴシック"/>
            <family val="3"/>
            <charset val="128"/>
          </rPr>
          <t>「新加算Ⅱ」が表示され、加算率が「エラー」と表示された場合は「新加算Ⅰ」と読み替えること。</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FD21197-B1BF-4ED6-8E13-4EFE1B5361DC}">
      <text>
        <r>
          <rPr>
            <sz val="9"/>
            <color indexed="81"/>
            <rFont val="MS P ゴシック"/>
            <family val="3"/>
            <charset val="128"/>
          </rPr>
          <t>「新加算Ⅱ」が表示され、加算率が「エラー」と表示された場合は「新加算Ⅰ」と読み替えること。</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5F5E7C7-D984-40A1-8375-903B97282CAA}">
      <text>
        <r>
          <rPr>
            <sz val="8"/>
            <color indexed="81"/>
            <rFont val="MS P ゴシック"/>
            <family val="3"/>
            <charset val="128"/>
          </rPr>
          <t>左記に「対象加算なし」が表示された場合は、「満たす」を選択し、「対象加算なし」を選択してください。</t>
        </r>
      </text>
    </comment>
    <comment ref="AL40" authorId="1" shapeId="0" xr:uid="{A478F96C-2DF6-4F34-BCE8-1BAD51CE8631}">
      <text>
        <r>
          <rPr>
            <sz val="8"/>
            <color indexed="81"/>
            <rFont val="MS P ゴシック"/>
            <family val="3"/>
            <charset val="128"/>
          </rPr>
          <t>左記に「対象加算なし」が表示された場合は、「満たす」を選択し、「対象加算なし」を選択してください。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B1FB8273-0685-490D-AC3E-4DC701E57D3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5EACB16A-6375-404F-9472-8224607571AE}">
      <text>
        <r>
          <rPr>
            <sz val="9"/>
            <color rgb="FF000000"/>
            <rFont val="MS P ゴシック"/>
            <family val="3"/>
            <charset val="128"/>
          </rPr>
          <t>令和５年度にベア加算を算定し、令和６年４・５月にも継続してベア加算を算定する場合「１」</t>
        </r>
      </text>
    </comment>
    <comment ref="Y4" authorId="0" shapeId="0" xr:uid="{86701F2C-D02D-485F-982B-201EFC46BF2A}">
      <text>
        <r>
          <rPr>
            <sz val="9"/>
            <color rgb="FF000000"/>
            <rFont val="MS P ゴシック"/>
            <family val="3"/>
            <charset val="128"/>
          </rPr>
          <t>必ずプルダウンで選択してください。</t>
        </r>
      </text>
    </comment>
    <comment ref="AE4" authorId="0" shapeId="0" xr:uid="{17294466-69BF-47C3-83AE-DC31C1859255}">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95B0AAFE-619D-4159-8F48-F084BD46C40F}">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DC927B38-91B1-45E8-B19A-F2792223768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3516D2D9-7214-4EA2-A221-9C218D1FF970}">
      <text>
        <r>
          <rPr>
            <sz val="9"/>
            <color rgb="FF000000"/>
            <rFont val="MS P ゴシック"/>
            <family val="3"/>
            <charset val="128"/>
          </rPr>
          <t>４・５月に処遇Ⅰ、６月以降に処遇Ⅰ相当の加算区分を算定する場合は「１」</t>
        </r>
      </text>
    </comment>
    <comment ref="CI6" authorId="0" shapeId="0" xr:uid="{561C77EA-E665-4337-ACD0-7560295345C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6C4CE24-3EAC-4EFD-9F56-9AC2B8FB510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06D3022-498D-4D51-BFA8-01064D08A80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B8BD7A9-63F8-40E4-A7A6-134D993DE5C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8748CBCF-F2E3-46F5-9786-1BB7D0B3621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619ED663-3AA6-475E-8F3B-B712E8B365EA}">
      <text>
        <r>
          <rPr>
            <sz val="9"/>
            <color rgb="FF000000"/>
            <rFont val="MS P ゴシック"/>
            <family val="3"/>
            <charset val="128"/>
          </rPr>
          <t>算定していない場合は、
「特定加算なし」を選択してください。</t>
        </r>
      </text>
    </comment>
    <comment ref="L9" authorId="0" shapeId="0" xr:uid="{91C71C64-6851-493A-A59A-BBABB08095C5}">
      <text>
        <r>
          <rPr>
            <sz val="9"/>
            <color rgb="FF000000"/>
            <rFont val="MS P ゴシック"/>
            <family val="3"/>
            <charset val="128"/>
          </rPr>
          <t>算定していない場合は、
「ベア加算なし」を選択してください。</t>
        </r>
      </text>
    </comment>
    <comment ref="V9" authorId="1" shapeId="0" xr:uid="{F68EBDFA-EC8B-4A1A-9113-062067CA3748}">
      <text>
        <r>
          <rPr>
            <sz val="9"/>
            <color indexed="81"/>
            <rFont val="MS P ゴシック"/>
            <family val="3"/>
            <charset val="128"/>
          </rPr>
          <t>「新加算Ⅱ」が表示され、加算率が「エラー」と表示された場合は「新加算Ⅰ」と読み替えること。</t>
        </r>
      </text>
    </comment>
    <comment ref="CI9" authorId="0" shapeId="0" xr:uid="{B0E7E7AB-40D1-4C3D-9C05-CC012FF3898F}">
      <text>
        <r>
          <rPr>
            <sz val="9"/>
            <color rgb="FF000000"/>
            <rFont val="MS P ゴシック"/>
            <family val="3"/>
            <charset val="128"/>
          </rPr>
          <t>キャリアパス要件Ⅴで「満たす」を選択していれば「１」</t>
        </r>
      </text>
    </comment>
    <comment ref="CI10" authorId="0" shapeId="0" xr:uid="{0F5C8CC2-E04F-4367-9B10-AB28D9CDE39F}">
      <text>
        <r>
          <rPr>
            <sz val="9"/>
            <color rgb="FF000000"/>
            <rFont val="MS P ゴシック"/>
            <family val="3"/>
            <charset val="128"/>
          </rPr>
          <t>職場環境等要件の上位区分を「満たす」と選択していれば「１」</t>
        </r>
      </text>
    </comment>
    <comment ref="V12" authorId="1" shapeId="0" xr:uid="{C4E7F033-11F1-4F2B-9E46-8C505A07E2CA}">
      <text>
        <r>
          <rPr>
            <sz val="9"/>
            <color indexed="81"/>
            <rFont val="MS P ゴシック"/>
            <family val="3"/>
            <charset val="128"/>
          </rPr>
          <t>「新加算Ⅱ」が表示され、加算率が「エラー」と表示された場合は「新加算Ⅰ」と読み替えること。</t>
        </r>
      </text>
    </comment>
    <comment ref="B13" authorId="0" shapeId="0" xr:uid="{DD84D7AF-A634-498D-9EED-03EA3AB2AD14}">
      <text>
        <r>
          <rPr>
            <sz val="9"/>
            <color rgb="FF000000"/>
            <rFont val="MS P ゴシック"/>
            <family val="3"/>
            <charset val="128"/>
          </rPr>
          <t>令和６年度の算定対象月を記入してください。</t>
        </r>
      </text>
    </comment>
    <comment ref="F15" authorId="0" shapeId="0" xr:uid="{0A0963E3-456D-4629-96B7-573C3AC90FB1}">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535727AB-0E3C-4A38-A526-D584E5ECC4EF}">
      <text>
        <r>
          <rPr>
            <sz val="9"/>
            <color indexed="81"/>
            <rFont val="MS P ゴシック"/>
            <family val="3"/>
            <charset val="128"/>
          </rPr>
          <t>「新加算Ⅱ」が表示され、加算率が「エラー」と表示された場合は「新加算Ⅰ」と読み替えること。</t>
        </r>
      </text>
    </comment>
    <comment ref="B18" authorId="0" shapeId="0" xr:uid="{0389112F-3007-46EB-84DA-04273C74F4B7}">
      <text>
        <r>
          <rPr>
            <sz val="9"/>
            <color rgb="FF000000"/>
            <rFont val="MS P ゴシック"/>
            <family val="3"/>
            <charset val="128"/>
          </rPr>
          <t>右欄の選択肢（「満たす」など）から、
それぞれ当てはまるものを選択してください。</t>
        </r>
      </text>
    </comment>
    <comment ref="AL25" authorId="0" shapeId="0" xr:uid="{79F5A92E-E185-4E95-A827-797920EC4914}">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36E25EB-2B7A-4BBD-B373-274B7AB926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BB836E0-219B-4E4F-BF13-EA8C295ACAF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BC9CD7BD-3292-4371-A45E-F291B87B1A80}">
      <text>
        <r>
          <rPr>
            <sz val="9"/>
            <color rgb="FF000000"/>
            <rFont val="MS P ゴシック"/>
            <family val="3"/>
            <charset val="128"/>
          </rPr>
          <t>小規模事業者等の特例で満たす場合も含む</t>
        </r>
      </text>
    </comment>
    <comment ref="AG37" authorId="0" shapeId="0" xr:uid="{5A26B45C-FB24-49CA-8035-DCD8A8601459}">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4BEE7EB-D4C4-479D-AC91-6C2F4A11401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4CA47C6E-6962-4048-A4AA-6BA3A8554D99}">
      <text>
        <r>
          <rPr>
            <sz val="8"/>
            <color indexed="81"/>
            <rFont val="MS P ゴシック"/>
            <family val="3"/>
            <charset val="128"/>
          </rPr>
          <t>左記に「対象加算なし」が表示された場合は、「満たす」を選択し、「対象加算なし」を選択してください。</t>
        </r>
      </text>
    </comment>
    <comment ref="AL40" authorId="1" shapeId="0" xr:uid="{372380F0-A02F-437C-A090-5BD3E329B061}">
      <text>
        <r>
          <rPr>
            <sz val="8"/>
            <color indexed="81"/>
            <rFont val="MS P ゴシック"/>
            <family val="3"/>
            <charset val="128"/>
          </rPr>
          <t>左記に「対象加算なし」が表示された場合は、「満たす」を選択し、「対象加算なし」を選択してください。</t>
        </r>
      </text>
    </comment>
    <comment ref="AD41" authorId="0" shapeId="0" xr:uid="{34C0D414-6431-4577-8AB0-A23748A991FD}">
      <text>
        <r>
          <rPr>
            <sz val="9"/>
            <color rgb="FF000000"/>
            <rFont val="MS P ゴシック"/>
            <family val="3"/>
            <charset val="128"/>
          </rPr>
          <t>「満たす」を選択した場合は、算定する加算の区分等を選択してください。</t>
        </r>
      </text>
    </comment>
    <comment ref="AL41" authorId="0" shapeId="0" xr:uid="{5598AD64-563C-4C9A-8CDD-ADFABE193F80}">
      <text>
        <r>
          <rPr>
            <sz val="9"/>
            <color rgb="FF000000"/>
            <rFont val="MS P ゴシック"/>
            <family val="3"/>
            <charset val="128"/>
          </rPr>
          <t>「満たす」を選択した場合は、算定する加算の区分等を選択してください。</t>
        </r>
      </text>
    </comment>
    <comment ref="B47" authorId="0" shapeId="0" xr:uid="{FD1DADEE-BEA3-4E0E-B9E2-5B65B984FB5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91A0AE80-3654-4987-9605-B8620214D47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AF21CFF-A462-4AB1-99D2-C00CE88EF21B}">
      <text>
        <r>
          <rPr>
            <sz val="9"/>
            <color rgb="FF000000"/>
            <rFont val="MS P ゴシック"/>
            <family val="3"/>
            <charset val="128"/>
          </rPr>
          <t>令和５年度にベア加算を算定し、令和６年４・５月にも継続してベア加算を算定する場合「１」</t>
        </r>
      </text>
    </comment>
    <comment ref="Y4" authorId="0" shapeId="0" xr:uid="{C23A7607-B67D-4332-B0E4-AB8A42340923}">
      <text>
        <r>
          <rPr>
            <sz val="9"/>
            <color rgb="FF000000"/>
            <rFont val="MS P ゴシック"/>
            <family val="3"/>
            <charset val="128"/>
          </rPr>
          <t>必ずプルダウンで選択してください。</t>
        </r>
      </text>
    </comment>
    <comment ref="AE4" authorId="0" shapeId="0" xr:uid="{176D112A-7A78-4825-A2C2-649CCE19387E}">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2499F9C3-8FBD-458D-8C07-6E0FE2D1726D}">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2FD2BAC2-9F51-4617-BD6D-18395881C3B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797B15-0624-4FEA-8904-F6D3424B3875}">
      <text>
        <r>
          <rPr>
            <sz val="9"/>
            <color rgb="FF000000"/>
            <rFont val="MS P ゴシック"/>
            <family val="3"/>
            <charset val="128"/>
          </rPr>
          <t>４・５月に処遇Ⅰ、６月以降に処遇Ⅰ相当の加算区分を算定する場合は「１」</t>
        </r>
      </text>
    </comment>
    <comment ref="CI6" authorId="0" shapeId="0" xr:uid="{0FACB9F7-479B-44E4-A551-ACB0DC6021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1B350543-2FB2-4156-8D24-6005D57978BE}">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021F9A4-3FD8-4CEB-B055-0138E7C4A8E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7877B93-8EEC-43A7-B6B0-CC53650617C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F96E55C-0643-42F6-B1ED-1248372E5C2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896EE9D4-4279-4130-99A7-4B4DAFE94250}">
      <text>
        <r>
          <rPr>
            <sz val="9"/>
            <color rgb="FF000000"/>
            <rFont val="MS P ゴシック"/>
            <family val="3"/>
            <charset val="128"/>
          </rPr>
          <t>算定していない場合は、
「特定加算なし」を選択してください。</t>
        </r>
      </text>
    </comment>
    <comment ref="L9" authorId="0" shapeId="0" xr:uid="{93D15E06-934E-4F69-B88D-F8075F834544}">
      <text>
        <r>
          <rPr>
            <sz val="9"/>
            <color rgb="FF000000"/>
            <rFont val="MS P ゴシック"/>
            <family val="3"/>
            <charset val="128"/>
          </rPr>
          <t>算定していない場合は、
「ベア加算なし」を選択してください。</t>
        </r>
      </text>
    </comment>
    <comment ref="V9" authorId="1" shapeId="0" xr:uid="{BA12DE5D-D574-4FC5-A863-3F5250074FD0}">
      <text>
        <r>
          <rPr>
            <sz val="9"/>
            <color indexed="81"/>
            <rFont val="MS P ゴシック"/>
            <family val="3"/>
            <charset val="128"/>
          </rPr>
          <t>「新加算Ⅱ」が表示され、加算率が「エラー」と表示された場合は「新加算Ⅰ」と読み替えること。</t>
        </r>
      </text>
    </comment>
    <comment ref="CI9" authorId="0" shapeId="0" xr:uid="{19CE535F-0EFD-4FA0-B746-3F192203EF09}">
      <text>
        <r>
          <rPr>
            <sz val="9"/>
            <color rgb="FF000000"/>
            <rFont val="MS P ゴシック"/>
            <family val="3"/>
            <charset val="128"/>
          </rPr>
          <t>キャリアパス要件Ⅴで「満たす」を選択していれば「１」</t>
        </r>
      </text>
    </comment>
    <comment ref="CI10" authorId="0" shapeId="0" xr:uid="{BAECBA1D-ADA5-4DD2-81A4-5642F32DF7D3}">
      <text>
        <r>
          <rPr>
            <sz val="9"/>
            <color rgb="FF000000"/>
            <rFont val="MS P ゴシック"/>
            <family val="3"/>
            <charset val="128"/>
          </rPr>
          <t>職場環境等要件の上位区分を「満たす」と選択していれば「１」</t>
        </r>
      </text>
    </comment>
    <comment ref="V12" authorId="1" shapeId="0" xr:uid="{5246D6F2-E1BA-47CB-A17C-E8A6E123E381}">
      <text>
        <r>
          <rPr>
            <sz val="9"/>
            <color indexed="81"/>
            <rFont val="MS P ゴシック"/>
            <family val="3"/>
            <charset val="128"/>
          </rPr>
          <t>「新加算Ⅱ」が表示され、加算率が「エラー」と表示された場合は「新加算Ⅰ」と読み替えること。</t>
        </r>
      </text>
    </comment>
    <comment ref="B13" authorId="0" shapeId="0" xr:uid="{30309F6B-BEE0-42BF-B938-8462EDCB0580}">
      <text>
        <r>
          <rPr>
            <sz val="9"/>
            <color rgb="FF000000"/>
            <rFont val="MS P ゴシック"/>
            <family val="3"/>
            <charset val="128"/>
          </rPr>
          <t>令和６年度の算定対象月を記入してください。</t>
        </r>
      </text>
    </comment>
    <comment ref="F15" authorId="0" shapeId="0" xr:uid="{D536E3B1-0116-4761-882E-BF2F29760F7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A4F94C3-5129-4A4C-ACE0-98DDB63F0CCC}">
      <text>
        <r>
          <rPr>
            <sz val="9"/>
            <color indexed="81"/>
            <rFont val="MS P ゴシック"/>
            <family val="3"/>
            <charset val="128"/>
          </rPr>
          <t>「新加算Ⅱ」が表示され、加算率が「エラー」と表示された場合は「新加算Ⅰ」と読み替えること。</t>
        </r>
      </text>
    </comment>
    <comment ref="B18" authorId="0" shapeId="0" xr:uid="{1EB02A50-C012-4E30-8A87-1BAAE8B0700F}">
      <text>
        <r>
          <rPr>
            <sz val="9"/>
            <color rgb="FF000000"/>
            <rFont val="MS P ゴシック"/>
            <family val="3"/>
            <charset val="128"/>
          </rPr>
          <t>右欄の選択肢（「満たす」など）から、
それぞれ当てはまるものを選択してください。</t>
        </r>
      </text>
    </comment>
    <comment ref="AL25" authorId="0" shapeId="0" xr:uid="{AFA66228-9AAE-4C5A-9B22-D11DA3041D2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8E2FB-C8F5-4626-BE25-107C2DBCF929}">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5042661-29DD-45A9-9FC0-9B74AA6B563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DB4AB340-0A18-4AF9-99D3-78B94987182D}">
      <text>
        <r>
          <rPr>
            <sz val="9"/>
            <color rgb="FF000000"/>
            <rFont val="MS P ゴシック"/>
            <family val="3"/>
            <charset val="128"/>
          </rPr>
          <t>小規模事業者等の特例で満たす場合も含む</t>
        </r>
      </text>
    </comment>
    <comment ref="AG37" authorId="0" shapeId="0" xr:uid="{5B53F187-9059-4DCE-8A10-74E206D35C0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8A1C8084-00D3-41D7-871A-A3760C2D381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7E04AC7-9CFA-42FD-8E55-1238F554F8AA}">
      <text>
        <r>
          <rPr>
            <sz val="9"/>
            <color indexed="81"/>
            <rFont val="MS P ゴシック"/>
            <family val="3"/>
            <charset val="128"/>
          </rPr>
          <t>左記に「対象加算なし」が表示された場合は、「満たす」を選択し、「対象加算なし」を選択してください。</t>
        </r>
      </text>
    </comment>
    <comment ref="AL40" authorId="1" shapeId="0" xr:uid="{2469B0DE-34EB-431A-A193-A735EF9D2B26}">
      <text>
        <r>
          <rPr>
            <sz val="9"/>
            <color indexed="81"/>
            <rFont val="MS P ゴシック"/>
            <family val="3"/>
            <charset val="128"/>
          </rPr>
          <t>左記に「対象加算なし」が表示された場合は、「満たす」を選択し、「対象加算なし」を選択してください。</t>
        </r>
      </text>
    </comment>
    <comment ref="AD41" authorId="0" shapeId="0" xr:uid="{5186B996-85EA-499E-9B17-0A28ACE24071}">
      <text>
        <r>
          <rPr>
            <sz val="9"/>
            <color rgb="FF000000"/>
            <rFont val="MS P ゴシック"/>
            <family val="3"/>
            <charset val="128"/>
          </rPr>
          <t>「満たす」を選択した場合は、算定する加算の区分等を選択してください。</t>
        </r>
      </text>
    </comment>
    <comment ref="AL41" authorId="0" shapeId="0" xr:uid="{FCD09991-A69D-45DB-87A6-4A334B490093}">
      <text>
        <r>
          <rPr>
            <sz val="9"/>
            <color rgb="FF000000"/>
            <rFont val="MS P ゴシック"/>
            <family val="3"/>
            <charset val="128"/>
          </rPr>
          <t>「満たす」を選択した場合は、算定する加算の区分等を選択してください。</t>
        </r>
      </text>
    </comment>
    <comment ref="B47" authorId="0" shapeId="0" xr:uid="{6738B92D-F203-4505-BA98-C5B9D889D52D}">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D489629A-08BB-4A22-BBD5-271C3F246DD8}">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17FFAA96-212A-4964-830A-A98B4E5B638F}">
      <text>
        <r>
          <rPr>
            <sz val="9"/>
            <color rgb="FF000000"/>
            <rFont val="MS P ゴシック"/>
            <family val="3"/>
            <charset val="128"/>
          </rPr>
          <t>令和５年度にベア加算を算定し、令和６年４・５月にも継続してベア加算を算定する場合「１」</t>
        </r>
      </text>
    </comment>
    <comment ref="Y4" authorId="0" shapeId="0" xr:uid="{725B6359-ACC6-4112-BA77-5BDC498595DE}">
      <text>
        <r>
          <rPr>
            <sz val="9"/>
            <color rgb="FF000000"/>
            <rFont val="MS P ゴシック"/>
            <family val="3"/>
            <charset val="128"/>
          </rPr>
          <t>必ずプルダウンで選択してください。</t>
        </r>
      </text>
    </comment>
    <comment ref="AE4" authorId="0" shapeId="0" xr:uid="{67EA5166-E176-451C-A3FB-DE798628E73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795C45C-83A7-4C42-B7AD-D5B86CF80DD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B58C5841-E4BE-478B-9BC6-489CD7600BAE}">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EF7CA91-48E2-4F9A-BB56-8A583B643705}">
      <text>
        <r>
          <rPr>
            <sz val="9"/>
            <color rgb="FF000000"/>
            <rFont val="MS P ゴシック"/>
            <family val="3"/>
            <charset val="128"/>
          </rPr>
          <t>４・５月に処遇Ⅰ、６月以降に処遇Ⅰ相当の加算区分を算定する場合は「１」</t>
        </r>
      </text>
    </comment>
    <comment ref="CI6" authorId="0" shapeId="0" xr:uid="{E627DC02-51A2-4C83-BCAD-CE7D42D9BCA1}">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323FAF0-B9B2-403B-BFAF-CF0C310A96F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DD8B191-7EB9-442E-A348-9245FB2C119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E09759D6-BA4B-48DC-80FA-FFC7BE0E0EF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54133A96-657B-4AB1-B71E-B09BEC6AB48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13208F7-1CCA-410C-ADEC-9ACFF2484DF5}">
      <text>
        <r>
          <rPr>
            <sz val="9"/>
            <color rgb="FF000000"/>
            <rFont val="MS P ゴシック"/>
            <family val="3"/>
            <charset val="128"/>
          </rPr>
          <t>算定していない場合は、
「特定加算なし」を選択してください。</t>
        </r>
      </text>
    </comment>
    <comment ref="L9" authorId="0" shapeId="0" xr:uid="{0844893B-7484-4920-AF0B-36D10752D405}">
      <text>
        <r>
          <rPr>
            <sz val="9"/>
            <color rgb="FF000000"/>
            <rFont val="MS P ゴシック"/>
            <family val="3"/>
            <charset val="128"/>
          </rPr>
          <t>算定していない場合は、
「ベア加算なし」を選択してください。</t>
        </r>
      </text>
    </comment>
    <comment ref="V9" authorId="1" shapeId="0" xr:uid="{FEC8900B-E7F1-4623-9EF7-9AE573A0587A}">
      <text>
        <r>
          <rPr>
            <sz val="9"/>
            <color indexed="81"/>
            <rFont val="MS P ゴシック"/>
            <family val="3"/>
            <charset val="128"/>
          </rPr>
          <t>「新加算Ⅱ」が表示され、加算率が「エラー」と表示された場合は「新加算Ⅰ」と読み替えること。</t>
        </r>
      </text>
    </comment>
    <comment ref="CI9" authorId="0" shapeId="0" xr:uid="{31B95BAE-C63C-43C7-B142-E0AC76C718DC}">
      <text>
        <r>
          <rPr>
            <sz val="9"/>
            <color rgb="FF000000"/>
            <rFont val="MS P ゴシック"/>
            <family val="3"/>
            <charset val="128"/>
          </rPr>
          <t>キャリアパス要件Ⅴで「満たす」を選択していれば「１」</t>
        </r>
      </text>
    </comment>
    <comment ref="CI10" authorId="0" shapeId="0" xr:uid="{58BA809C-5CEA-4633-B0D9-06F59AF745A7}">
      <text>
        <r>
          <rPr>
            <sz val="9"/>
            <color rgb="FF000000"/>
            <rFont val="MS P ゴシック"/>
            <family val="3"/>
            <charset val="128"/>
          </rPr>
          <t>職場環境等要件の上位区分を「満たす」と選択していれば「１」</t>
        </r>
      </text>
    </comment>
    <comment ref="V12" authorId="1" shapeId="0" xr:uid="{04638663-9916-436D-AF34-53DEB757813D}">
      <text>
        <r>
          <rPr>
            <sz val="9"/>
            <color indexed="81"/>
            <rFont val="MS P ゴシック"/>
            <family val="3"/>
            <charset val="128"/>
          </rPr>
          <t>「新加算Ⅱ」が表示され、加算率が「エラー」と表示された場合は「新加算Ⅰ」と読み替えること。</t>
        </r>
      </text>
    </comment>
    <comment ref="B13" authorId="0" shapeId="0" xr:uid="{D7A0618E-7EF9-4F19-83B6-D64E4951F1C5}">
      <text>
        <r>
          <rPr>
            <sz val="9"/>
            <color rgb="FF000000"/>
            <rFont val="MS P ゴシック"/>
            <family val="3"/>
            <charset val="128"/>
          </rPr>
          <t>令和６年度の算定対象月を記入してください。</t>
        </r>
      </text>
    </comment>
    <comment ref="F15" authorId="0" shapeId="0" xr:uid="{4566F746-378F-4787-A36A-E8F4ED9D23EE}">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E5713F5F-98BE-400C-BD7E-7FB22CBE1BFD}">
      <text>
        <r>
          <rPr>
            <sz val="9"/>
            <color indexed="81"/>
            <rFont val="MS P ゴシック"/>
            <family val="3"/>
            <charset val="128"/>
          </rPr>
          <t>「新加算Ⅱ」が表示され、加算率が「エラー」と表示された場合は「新加算Ⅰ」と読み替えること。</t>
        </r>
      </text>
    </comment>
    <comment ref="B18" authorId="0" shapeId="0" xr:uid="{899D441E-C786-44D5-9E9D-6956C4D16800}">
      <text>
        <r>
          <rPr>
            <sz val="9"/>
            <color rgb="FF000000"/>
            <rFont val="MS P ゴシック"/>
            <family val="3"/>
            <charset val="128"/>
          </rPr>
          <t>右欄の選択肢（「満たす」など）から、
それぞれ当てはまるものを選択してください。</t>
        </r>
      </text>
    </comment>
    <comment ref="AL25" authorId="0" shapeId="0" xr:uid="{001EBEB0-2197-452C-8C53-5FC4E3992ED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454E319E-9818-4F69-BEEC-3A23EFDA51B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41ACCFD-B4BC-40D5-856C-33BBAC49045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FFA10CB-081F-4837-93FA-133BB87ED9F8}">
      <text>
        <r>
          <rPr>
            <sz val="9"/>
            <color rgb="FF000000"/>
            <rFont val="MS P ゴシック"/>
            <family val="3"/>
            <charset val="128"/>
          </rPr>
          <t>小規模事業者等の特例で満たす場合も含む</t>
        </r>
      </text>
    </comment>
    <comment ref="AG37" authorId="0" shapeId="0" xr:uid="{C69091AF-1FE5-4444-B8D5-3F1AFC53520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0A945101-96EE-4C78-8299-AE234CCB434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26DBA3FB-012E-426A-9AB2-CA8D018BB930}">
      <text>
        <r>
          <rPr>
            <sz val="9"/>
            <color indexed="81"/>
            <rFont val="MS P ゴシック"/>
            <family val="3"/>
            <charset val="128"/>
          </rPr>
          <t>左記に「対象加算なし」が表示された場合は、「満たす」を選択し、「対象加算なし」を選択してください。</t>
        </r>
      </text>
    </comment>
    <comment ref="AL40" authorId="1" shapeId="0" xr:uid="{9461AF69-8F53-424E-8C0E-0920B3903E03}">
      <text>
        <r>
          <rPr>
            <sz val="9"/>
            <color indexed="81"/>
            <rFont val="MS P ゴシック"/>
            <family val="3"/>
            <charset val="128"/>
          </rPr>
          <t>左記に「対象加算なし」が表示された場合は、「満たす」を選択し、「対象加算なし」を選択してください。</t>
        </r>
      </text>
    </comment>
    <comment ref="AD41" authorId="0" shapeId="0" xr:uid="{64B99652-4787-4D46-9FAF-0EAD3F306C9E}">
      <text>
        <r>
          <rPr>
            <sz val="9"/>
            <color rgb="FF000000"/>
            <rFont val="MS P ゴシック"/>
            <family val="3"/>
            <charset val="128"/>
          </rPr>
          <t>「満たす」を選択した場合は、算定する加算の区分等を選択してください。</t>
        </r>
      </text>
    </comment>
    <comment ref="AL41" authorId="0" shapeId="0" xr:uid="{A231F28E-02EC-4018-A3D0-8D09AC325298}">
      <text>
        <r>
          <rPr>
            <sz val="9"/>
            <color rgb="FF000000"/>
            <rFont val="MS P ゴシック"/>
            <family val="3"/>
            <charset val="128"/>
          </rPr>
          <t>「満たす」を選択した場合は、算定する加算の区分等を選択してください。</t>
        </r>
      </text>
    </comment>
    <comment ref="B47" authorId="0" shapeId="0" xr:uid="{81BF9B7B-AD43-4120-9244-F28103ED181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2F821D35-9A72-4D4E-8E8D-117D0B2E6BE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DB50948-0422-4B0F-BF04-82E92A4C073B}">
      <text>
        <r>
          <rPr>
            <sz val="9"/>
            <color rgb="FF000000"/>
            <rFont val="MS P ゴシック"/>
            <family val="3"/>
            <charset val="128"/>
          </rPr>
          <t>令和５年度にベア加算を算定し、令和６年４・５月にも継続してベア加算を算定する場合「１」</t>
        </r>
      </text>
    </comment>
    <comment ref="Y4" authorId="0" shapeId="0" xr:uid="{ABAB9278-4068-404D-BAB0-9947B8E5E166}">
      <text>
        <r>
          <rPr>
            <sz val="9"/>
            <color rgb="FF000000"/>
            <rFont val="MS P ゴシック"/>
            <family val="3"/>
            <charset val="128"/>
          </rPr>
          <t>必ずプルダウンで選択してください。</t>
        </r>
      </text>
    </comment>
    <comment ref="AE4" authorId="0" shapeId="0" xr:uid="{95605BC1-9E24-4C85-8E79-98DFEA2D1962}">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7A1A3F9-BA5A-4420-9E74-E78A075046A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8A17CCC-A9F4-435B-BC7B-8C4F0D448EB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CFF8C3C-89AA-48AF-844F-27E04FB20733}">
      <text>
        <r>
          <rPr>
            <sz val="9"/>
            <color rgb="FF000000"/>
            <rFont val="MS P ゴシック"/>
            <family val="3"/>
            <charset val="128"/>
          </rPr>
          <t>４・５月に処遇Ⅰ、６月以降に処遇Ⅰ相当の加算区分を算定する場合は「１」</t>
        </r>
      </text>
    </comment>
    <comment ref="CI6" authorId="0" shapeId="0" xr:uid="{336B4FF7-C61F-4F20-8ED3-822CA55F0432}">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9030985D-E741-484A-B989-BBE5DAD6CF25}">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DA725DDF-CAA0-44EA-8358-4620F93127B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F1183AE-2693-4578-9D10-FB1A6B8FB41C}">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ED711AD-C1F5-4B49-B4C1-7FCB4C7AC312}">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D8A4E1F6-161C-4867-9729-C9CCAF08FE5D}">
      <text>
        <r>
          <rPr>
            <sz val="9"/>
            <color rgb="FF000000"/>
            <rFont val="MS P ゴシック"/>
            <family val="3"/>
            <charset val="128"/>
          </rPr>
          <t>算定していない場合は、
「特定加算なし」を選択してください。</t>
        </r>
      </text>
    </comment>
    <comment ref="L9" authorId="0" shapeId="0" xr:uid="{0B96F06C-CAD5-48CA-B93A-04D49AF8AAD5}">
      <text>
        <r>
          <rPr>
            <sz val="9"/>
            <color rgb="FF000000"/>
            <rFont val="MS P ゴシック"/>
            <family val="3"/>
            <charset val="128"/>
          </rPr>
          <t>算定していない場合は、
「ベア加算なし」を選択してください。</t>
        </r>
      </text>
    </comment>
    <comment ref="V9" authorId="1" shapeId="0" xr:uid="{8AF40BC9-4DB8-4655-836C-69F6A542F2C6}">
      <text>
        <r>
          <rPr>
            <sz val="9"/>
            <color indexed="81"/>
            <rFont val="MS P ゴシック"/>
            <family val="3"/>
            <charset val="128"/>
          </rPr>
          <t>「新加算Ⅱ」が表示され、加算率が「エラー」と表示された場合は「新加算Ⅰ」と読み替えること。</t>
        </r>
      </text>
    </comment>
    <comment ref="CI9" authorId="0" shapeId="0" xr:uid="{9BA05882-5CFF-47FF-B598-893756C5EB6A}">
      <text>
        <r>
          <rPr>
            <sz val="9"/>
            <color rgb="FF000000"/>
            <rFont val="MS P ゴシック"/>
            <family val="3"/>
            <charset val="128"/>
          </rPr>
          <t>キャリアパス要件Ⅴで「満たす」を選択していれば「１」</t>
        </r>
      </text>
    </comment>
    <comment ref="CI10" authorId="0" shapeId="0" xr:uid="{0B1CEF7A-7AC2-4160-8063-A0E76CE13BDD}">
      <text>
        <r>
          <rPr>
            <sz val="9"/>
            <color rgb="FF000000"/>
            <rFont val="MS P ゴシック"/>
            <family val="3"/>
            <charset val="128"/>
          </rPr>
          <t>職場環境等要件の上位区分を「満たす」と選択していれば「１」</t>
        </r>
      </text>
    </comment>
    <comment ref="V12" authorId="1" shapeId="0" xr:uid="{68EE1660-BBBB-41C3-90E4-0715E6273049}">
      <text>
        <r>
          <rPr>
            <sz val="9"/>
            <color indexed="81"/>
            <rFont val="MS P ゴシック"/>
            <family val="3"/>
            <charset val="128"/>
          </rPr>
          <t>「新加算Ⅱ」が表示され、加算率が「エラー」と表示された場合は「新加算Ⅰ」と読み替えること。</t>
        </r>
      </text>
    </comment>
    <comment ref="B13" authorId="0" shapeId="0" xr:uid="{0FE96AFD-8A51-4D07-9E30-879DE561A6C9}">
      <text>
        <r>
          <rPr>
            <sz val="9"/>
            <color rgb="FF000000"/>
            <rFont val="MS P ゴシック"/>
            <family val="3"/>
            <charset val="128"/>
          </rPr>
          <t>令和６年度の算定対象月を記入してください。</t>
        </r>
      </text>
    </comment>
    <comment ref="F15" authorId="0" shapeId="0" xr:uid="{1A9EF5C2-7DE2-4DE1-A94E-0D29888067FC}">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F2B0C111-B935-4535-8A4F-A4BD09A46F9A}">
      <text>
        <r>
          <rPr>
            <sz val="9"/>
            <color indexed="81"/>
            <rFont val="MS P ゴシック"/>
            <family val="3"/>
            <charset val="128"/>
          </rPr>
          <t>「新加算Ⅱ」が表示され、加算率が「エラー」と表示された場合は「新加算Ⅰ」と読み替えること。</t>
        </r>
      </text>
    </comment>
    <comment ref="B18" authorId="0" shapeId="0" xr:uid="{EB56A267-16ED-4C0D-99BD-550CA38995F0}">
      <text>
        <r>
          <rPr>
            <sz val="9"/>
            <color rgb="FF000000"/>
            <rFont val="MS P ゴシック"/>
            <family val="3"/>
            <charset val="128"/>
          </rPr>
          <t>右欄の選択肢（「満たす」など）から、
それぞれ当てはまるものを選択してください。</t>
        </r>
      </text>
    </comment>
    <comment ref="AL25" authorId="0" shapeId="0" xr:uid="{514955A2-C569-4845-AC57-63DE2B689B5E}">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F22DD40-0E60-48A6-87D7-E6E8B497872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FBE1952-194A-4E2A-A4BE-055D802F5184}">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0262503-E4D0-41CD-A279-DF8DC4377047}">
      <text>
        <r>
          <rPr>
            <sz val="9"/>
            <color rgb="FF000000"/>
            <rFont val="MS P ゴシック"/>
            <family val="3"/>
            <charset val="128"/>
          </rPr>
          <t>小規模事業者等の特例で満たす場合も含む</t>
        </r>
      </text>
    </comment>
    <comment ref="AG37" authorId="0" shapeId="0" xr:uid="{AB15D7D1-D552-43D2-A629-CC06EA3914A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35C95D2-DC0C-4BDF-A3FB-A14E762A43C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97B7D123-5AC2-4AE9-97FA-C585F53AEB45}">
      <text>
        <r>
          <rPr>
            <sz val="9"/>
            <color indexed="81"/>
            <rFont val="MS P ゴシック"/>
            <family val="3"/>
            <charset val="128"/>
          </rPr>
          <t>左記に「対象加算なし」が表示された場合は、「満たす」を選択し、「対象加算なし」を選択してください。</t>
        </r>
      </text>
    </comment>
    <comment ref="AL40" authorId="1" shapeId="0" xr:uid="{A37A09EA-DDDB-44BB-B1E8-C3352BF71277}">
      <text>
        <r>
          <rPr>
            <sz val="9"/>
            <color indexed="81"/>
            <rFont val="MS P ゴシック"/>
            <family val="3"/>
            <charset val="128"/>
          </rPr>
          <t>左記に「対象加算なし」が表示された場合は、「満たす」を選択し、「対象加算なし」を選択してください。</t>
        </r>
      </text>
    </comment>
    <comment ref="AD41" authorId="0" shapeId="0" xr:uid="{6E6C24EC-8672-4D4F-B346-2B4FC4B9D1EC}">
      <text>
        <r>
          <rPr>
            <sz val="9"/>
            <color rgb="FF000000"/>
            <rFont val="MS P ゴシック"/>
            <family val="3"/>
            <charset val="128"/>
          </rPr>
          <t>「満たす」を選択した場合は、算定する加算の区分等を選択してください。</t>
        </r>
      </text>
    </comment>
    <comment ref="AL41" authorId="0" shapeId="0" xr:uid="{CBDFBA60-F6D2-4285-9596-DA3DC2FF0321}">
      <text>
        <r>
          <rPr>
            <sz val="9"/>
            <color rgb="FF000000"/>
            <rFont val="MS P ゴシック"/>
            <family val="3"/>
            <charset val="128"/>
          </rPr>
          <t>「満たす」を選択した場合は、算定する加算の区分等を選択してください。</t>
        </r>
      </text>
    </comment>
    <comment ref="B47" authorId="0" shapeId="0" xr:uid="{25CEEF13-C270-4E45-B835-70EA97BEBE82}">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64D2B474-8EB1-40C5-8DB2-CC3D0AFA0CA2}">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8CD0313-56E3-40D4-A2BC-494D7E8555CC}">
      <text>
        <r>
          <rPr>
            <sz val="9"/>
            <color rgb="FF000000"/>
            <rFont val="MS P ゴシック"/>
            <family val="3"/>
            <charset val="128"/>
          </rPr>
          <t>令和５年度にベア加算を算定し、令和６年４・５月にも継続してベア加算を算定する場合「１」</t>
        </r>
      </text>
    </comment>
    <comment ref="Y4" authorId="0" shapeId="0" xr:uid="{6AE6673D-B5DE-42C5-89ED-78EC4153F3D2}">
      <text>
        <r>
          <rPr>
            <sz val="9"/>
            <color rgb="FF000000"/>
            <rFont val="MS P ゴシック"/>
            <family val="3"/>
            <charset val="128"/>
          </rPr>
          <t>必ずプルダウンで選択してください。</t>
        </r>
      </text>
    </comment>
    <comment ref="AE4" authorId="0" shapeId="0" xr:uid="{AF417869-AB1A-4233-93E0-8D025DD2CA3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670A3AD2-6AE0-4208-A599-1D3769266E23}">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412D24-9399-47A4-A86C-789FE9299BA1}">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AB146C8-A278-44DB-8DF8-F252026CC6DA}">
      <text>
        <r>
          <rPr>
            <sz val="9"/>
            <color rgb="FF000000"/>
            <rFont val="MS P ゴシック"/>
            <family val="3"/>
            <charset val="128"/>
          </rPr>
          <t>４・５月に処遇Ⅰ、６月以降に処遇Ⅰ相当の加算区分を算定する場合は「１」</t>
        </r>
      </text>
    </comment>
    <comment ref="CI6" authorId="0" shapeId="0" xr:uid="{80674DE2-46A2-4E7F-8FCE-30C0E07240A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1F5D045-5FFE-45B1-A66C-C3CFBD0FBB2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AAFFB408-B5B5-4400-A2C5-4D6C8DAF19B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2D5A354-A70C-45B3-812A-7229A12680CD}">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FFA6853D-7877-4085-90A5-4E588CFBB83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2668691-F4EE-4201-B5B7-B3AF1F322BF7}">
      <text>
        <r>
          <rPr>
            <sz val="9"/>
            <color rgb="FF000000"/>
            <rFont val="MS P ゴシック"/>
            <family val="3"/>
            <charset val="128"/>
          </rPr>
          <t>算定していない場合は、
「特定加算なし」を選択してください。</t>
        </r>
      </text>
    </comment>
    <comment ref="L9" authorId="0" shapeId="0" xr:uid="{22D58476-E578-4EED-95E9-0395D46E5166}">
      <text>
        <r>
          <rPr>
            <sz val="9"/>
            <color rgb="FF000000"/>
            <rFont val="MS P ゴシック"/>
            <family val="3"/>
            <charset val="128"/>
          </rPr>
          <t>算定していない場合は、
「ベア加算なし」を選択してください。</t>
        </r>
      </text>
    </comment>
    <comment ref="V9" authorId="1" shapeId="0" xr:uid="{A38598ED-5F37-42DF-A2A1-2AE658EC668D}">
      <text>
        <r>
          <rPr>
            <sz val="9"/>
            <color indexed="81"/>
            <rFont val="MS P ゴシック"/>
            <family val="3"/>
            <charset val="128"/>
          </rPr>
          <t>「新加算Ⅱ」が表示され、加算率が「エラー」と表示された場合は「新加算Ⅰ」と読み替えること。</t>
        </r>
      </text>
    </comment>
    <comment ref="CI9" authorId="0" shapeId="0" xr:uid="{86CA3FBC-3712-4A13-A737-8CAB308F2970}">
      <text>
        <r>
          <rPr>
            <sz val="9"/>
            <color rgb="FF000000"/>
            <rFont val="MS P ゴシック"/>
            <family val="3"/>
            <charset val="128"/>
          </rPr>
          <t>キャリアパス要件Ⅴで「満たす」を選択していれば「１」</t>
        </r>
      </text>
    </comment>
    <comment ref="CI10" authorId="0" shapeId="0" xr:uid="{B238889D-7E88-41E6-A239-C4DAEED9E819}">
      <text>
        <r>
          <rPr>
            <sz val="9"/>
            <color rgb="FF000000"/>
            <rFont val="MS P ゴシック"/>
            <family val="3"/>
            <charset val="128"/>
          </rPr>
          <t>職場環境等要件の上位区分を「満たす」と選択していれば「１」</t>
        </r>
      </text>
    </comment>
    <comment ref="V12" authorId="1" shapeId="0" xr:uid="{77248F53-3AC2-4C36-8960-45A7AE262DD9}">
      <text>
        <r>
          <rPr>
            <sz val="9"/>
            <color indexed="81"/>
            <rFont val="MS P ゴシック"/>
            <family val="3"/>
            <charset val="128"/>
          </rPr>
          <t>「新加算Ⅱ」が表示され、加算率が「エラー」と表示された場合は「新加算Ⅰ」と読み替えること。</t>
        </r>
      </text>
    </comment>
    <comment ref="B13" authorId="0" shapeId="0" xr:uid="{0004E628-C6D1-4068-A228-7EF2CFB3CD42}">
      <text>
        <r>
          <rPr>
            <sz val="9"/>
            <color rgb="FF000000"/>
            <rFont val="MS P ゴシック"/>
            <family val="3"/>
            <charset val="128"/>
          </rPr>
          <t>令和６年度の算定対象月を記入してください。</t>
        </r>
      </text>
    </comment>
    <comment ref="F15" authorId="0" shapeId="0" xr:uid="{47ABEEA8-7E49-44A5-8EAD-DA6638955DB3}">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282EF651-C93C-4C67-A23F-22EE6EFC7AAF}">
      <text>
        <r>
          <rPr>
            <sz val="9"/>
            <color indexed="81"/>
            <rFont val="MS P ゴシック"/>
            <family val="3"/>
            <charset val="128"/>
          </rPr>
          <t>「新加算Ⅱ」が表示され、加算率が「エラー」と表示された場合は「新加算Ⅰ」と読み替えること。</t>
        </r>
      </text>
    </comment>
    <comment ref="B18" authorId="0" shapeId="0" xr:uid="{00855D2B-ED36-4C15-8B53-15BF34EDDA05}">
      <text>
        <r>
          <rPr>
            <sz val="9"/>
            <color rgb="FF000000"/>
            <rFont val="MS P ゴシック"/>
            <family val="3"/>
            <charset val="128"/>
          </rPr>
          <t>右欄の選択肢（「満たす」など）から、
それぞれ当てはまるものを選択してください。</t>
        </r>
      </text>
    </comment>
    <comment ref="AL25" authorId="0" shapeId="0" xr:uid="{6AB2D8C3-C25F-43DF-822D-591665E0C60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69296E9-E001-4CF6-A994-454F2FB9AB4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932FC3D8-3C41-47B4-A40E-E15C0C394EE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09929292-590C-450A-B992-13B2FB811211}">
      <text>
        <r>
          <rPr>
            <sz val="9"/>
            <color rgb="FF000000"/>
            <rFont val="MS P ゴシック"/>
            <family val="3"/>
            <charset val="128"/>
          </rPr>
          <t>小規模事業者等の特例で満たす場合も含む</t>
        </r>
      </text>
    </comment>
    <comment ref="AG37" authorId="0" shapeId="0" xr:uid="{A957EF13-2E36-43E3-9038-12592F3D918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6985E377-567E-4A84-B837-1C4D7B9CAFD8}">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C3B5EEE-5AC5-4B1A-BC14-4ABB16DC7FBE}">
      <text>
        <r>
          <rPr>
            <sz val="9"/>
            <color indexed="81"/>
            <rFont val="MS P ゴシック"/>
            <family val="3"/>
            <charset val="128"/>
          </rPr>
          <t>左記に「対象加算なし」が表示された場合は、「満たす」を選択し、「対象加算なし」を選択してください。</t>
        </r>
      </text>
    </comment>
    <comment ref="AL40" authorId="1" shapeId="0" xr:uid="{6E563025-20D6-46D3-928F-7CDC40EF390A}">
      <text>
        <r>
          <rPr>
            <sz val="9"/>
            <color indexed="81"/>
            <rFont val="MS P ゴシック"/>
            <family val="3"/>
            <charset val="128"/>
          </rPr>
          <t>左記に「対象加算なし」が表示された場合は、「満たす」を選択し、「対象加算なし」を選択してください。</t>
        </r>
      </text>
    </comment>
    <comment ref="AD41" authorId="0" shapeId="0" xr:uid="{4823825A-4F86-437B-B5E9-25165ED7B2B2}">
      <text>
        <r>
          <rPr>
            <sz val="9"/>
            <color rgb="FF000000"/>
            <rFont val="MS P ゴシック"/>
            <family val="3"/>
            <charset val="128"/>
          </rPr>
          <t>「満たす」を選択した場合は、算定する加算の区分等を選択してください。</t>
        </r>
      </text>
    </comment>
    <comment ref="AL41" authorId="0" shapeId="0" xr:uid="{0C2C0B60-EE6D-41D6-9050-9BCF0BE9DA8E}">
      <text>
        <r>
          <rPr>
            <sz val="9"/>
            <color rgb="FF000000"/>
            <rFont val="MS P ゴシック"/>
            <family val="3"/>
            <charset val="128"/>
          </rPr>
          <t>「満たす」を選択した場合は、算定する加算の区分等を選択してください。</t>
        </r>
      </text>
    </comment>
    <comment ref="B47" authorId="0" shapeId="0" xr:uid="{68FA4247-B989-4E9F-88A4-D571D087AE9C}">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50584FE0-61AE-4363-A2CA-E79A5EAF62F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7E5C783C-7B92-4726-9C2B-65891F88034E}">
      <text>
        <r>
          <rPr>
            <sz val="9"/>
            <color rgb="FF000000"/>
            <rFont val="MS P ゴシック"/>
            <family val="3"/>
            <charset val="128"/>
          </rPr>
          <t>令和５年度にベア加算を算定し、令和６年４・５月にも継続してベア加算を算定する場合「１」</t>
        </r>
      </text>
    </comment>
    <comment ref="Y4" authorId="0" shapeId="0" xr:uid="{1EA1EC65-363F-4C33-BE32-F7164E18EC42}">
      <text>
        <r>
          <rPr>
            <sz val="9"/>
            <color rgb="FF000000"/>
            <rFont val="MS P ゴシック"/>
            <family val="3"/>
            <charset val="128"/>
          </rPr>
          <t>必ずプルダウンで選択してください。</t>
        </r>
      </text>
    </comment>
    <comment ref="AE4" authorId="0" shapeId="0" xr:uid="{46709133-2FE4-469A-B54F-8757E060E0B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3AB60098-CAB8-4806-98AF-1ED4774BA769}">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CDE3AE84-0FC4-4120-8565-36F8721B4E1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FEDDF21-9AED-4AF1-AE45-298C88724A36}">
      <text>
        <r>
          <rPr>
            <sz val="9"/>
            <color rgb="FF000000"/>
            <rFont val="MS P ゴシック"/>
            <family val="3"/>
            <charset val="128"/>
          </rPr>
          <t>４・５月に処遇Ⅰ、６月以降に処遇Ⅰ相当の加算区分を算定する場合は「１」</t>
        </r>
      </text>
    </comment>
    <comment ref="CI6" authorId="0" shapeId="0" xr:uid="{FCDF078B-8120-4B64-8ECD-7AFF663A1C68}">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CEC18D4B-E2BA-414D-A2C7-CA2626597DB0}">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977A9CFF-27BA-45AF-8E79-0924C27D94F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039E276-3836-4D2D-913E-8909C46FE19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7678B90-E11D-4E05-8EEC-79B66DAAD2F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720F22E-CB98-47DF-B04C-64B67C3339B2}">
      <text>
        <r>
          <rPr>
            <sz val="9"/>
            <color rgb="FF000000"/>
            <rFont val="MS P ゴシック"/>
            <family val="3"/>
            <charset val="128"/>
          </rPr>
          <t>算定していない場合は、
「特定加算なし」を選択してください。</t>
        </r>
      </text>
    </comment>
    <comment ref="L9" authorId="0" shapeId="0" xr:uid="{70302820-ABA9-49ED-B4DE-C4FB67AA073D}">
      <text>
        <r>
          <rPr>
            <sz val="9"/>
            <color rgb="FF000000"/>
            <rFont val="MS P ゴシック"/>
            <family val="3"/>
            <charset val="128"/>
          </rPr>
          <t>算定していない場合は、
「ベア加算なし」を選択してください。</t>
        </r>
      </text>
    </comment>
    <comment ref="V9" authorId="1" shapeId="0" xr:uid="{C575F1E1-E22F-416C-8978-0BB3D0E1199E}">
      <text>
        <r>
          <rPr>
            <sz val="9"/>
            <color indexed="81"/>
            <rFont val="MS P ゴシック"/>
            <family val="3"/>
            <charset val="128"/>
          </rPr>
          <t>「新加算Ⅱ」が表示され、加算率が「エラー」と表示された場合は「新加算Ⅰ」と読み替えること。</t>
        </r>
      </text>
    </comment>
    <comment ref="CI9" authorId="0" shapeId="0" xr:uid="{2C41CA5D-1789-4129-8149-F9FF79316FF1}">
      <text>
        <r>
          <rPr>
            <sz val="9"/>
            <color rgb="FF000000"/>
            <rFont val="MS P ゴシック"/>
            <family val="3"/>
            <charset val="128"/>
          </rPr>
          <t>キャリアパス要件Ⅴで「満たす」を選択していれば「１」</t>
        </r>
      </text>
    </comment>
    <comment ref="CI10" authorId="0" shapeId="0" xr:uid="{7B64833E-CDE8-46B2-8E2F-417B122A0AA6}">
      <text>
        <r>
          <rPr>
            <sz val="9"/>
            <color rgb="FF000000"/>
            <rFont val="MS P ゴシック"/>
            <family val="3"/>
            <charset val="128"/>
          </rPr>
          <t>職場環境等要件の上位区分を「満たす」と選択していれば「１」</t>
        </r>
      </text>
    </comment>
    <comment ref="V12" authorId="1" shapeId="0" xr:uid="{F4E5E86A-E06F-4729-B91B-1DFEF348E03F}">
      <text>
        <r>
          <rPr>
            <sz val="9"/>
            <color indexed="81"/>
            <rFont val="MS P ゴシック"/>
            <family val="3"/>
            <charset val="128"/>
          </rPr>
          <t>「新加算Ⅱ」が表示され、加算率が「エラー」と表示された場合は「新加算Ⅰ」と読み替えること。</t>
        </r>
      </text>
    </comment>
    <comment ref="B13" authorId="0" shapeId="0" xr:uid="{1E312933-B983-47BA-B1DA-5C29057E10FC}">
      <text>
        <r>
          <rPr>
            <sz val="9"/>
            <color rgb="FF000000"/>
            <rFont val="MS P ゴシック"/>
            <family val="3"/>
            <charset val="128"/>
          </rPr>
          <t>令和６年度の算定対象月を記入してください。</t>
        </r>
      </text>
    </comment>
    <comment ref="F15" authorId="0" shapeId="0" xr:uid="{D5F16826-DC97-47D3-AC45-9F4E1302B0B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08E59ED8-976D-4AF4-BD59-C32C1D69ED54}">
      <text>
        <r>
          <rPr>
            <sz val="9"/>
            <color indexed="81"/>
            <rFont val="MS P ゴシック"/>
            <family val="3"/>
            <charset val="128"/>
          </rPr>
          <t>「新加算Ⅱ」が表示され、加算率が「エラー」と表示された場合は「新加算Ⅰ」と読み替えること。</t>
        </r>
      </text>
    </comment>
    <comment ref="B18" authorId="0" shapeId="0" xr:uid="{3F066E62-A18B-45AD-95DF-428ADB2ADA48}">
      <text>
        <r>
          <rPr>
            <sz val="9"/>
            <color rgb="FF000000"/>
            <rFont val="MS P ゴシック"/>
            <family val="3"/>
            <charset val="128"/>
          </rPr>
          <t>右欄の選択肢（「満たす」など）から、
それぞれ当てはまるものを選択してください。</t>
        </r>
      </text>
    </comment>
    <comment ref="AL25" authorId="0" shapeId="0" xr:uid="{8371B03D-679D-4422-9A96-18034DD893F3}">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B36C0B2-C98E-405B-A60F-44B9C469543B}">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77A318BF-1B70-4D8C-A081-A077B618CE5F}">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A283D76-03C7-438C-BE04-C095CAB8ADEB}">
      <text>
        <r>
          <rPr>
            <sz val="9"/>
            <color rgb="FF000000"/>
            <rFont val="MS P ゴシック"/>
            <family val="3"/>
            <charset val="128"/>
          </rPr>
          <t>小規模事業者等の特例で満たす場合も含む</t>
        </r>
      </text>
    </comment>
    <comment ref="AG37" authorId="0" shapeId="0" xr:uid="{D598ABA3-D805-4E9C-9B2A-1A92270BAB7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D3261ED8-97CB-436B-AC0D-4BEF0894994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0096C67E-BE1D-4F21-B017-0B75B60BC6E9}">
      <text>
        <r>
          <rPr>
            <sz val="9"/>
            <color indexed="81"/>
            <rFont val="MS P ゴシック"/>
            <family val="3"/>
            <charset val="128"/>
          </rPr>
          <t>左記に「対象加算なし」が表示された場合は、「満たす」を選択し、「対象加算なし」を選択してください。</t>
        </r>
      </text>
    </comment>
    <comment ref="AL40" authorId="1" shapeId="0" xr:uid="{378CF9F6-9FDD-4C60-9785-F520E8D836D8}">
      <text>
        <r>
          <rPr>
            <sz val="9"/>
            <color indexed="81"/>
            <rFont val="MS P ゴシック"/>
            <family val="3"/>
            <charset val="128"/>
          </rPr>
          <t>左記に「対象加算なし」が表示された場合は、「満たす」を選択し、「対象加算なし」を選択してください。</t>
        </r>
      </text>
    </comment>
    <comment ref="AD41" authorId="0" shapeId="0" xr:uid="{2DD50115-D7A3-49F2-95D2-04A7B137DEFC}">
      <text>
        <r>
          <rPr>
            <sz val="9"/>
            <color rgb="FF000000"/>
            <rFont val="MS P ゴシック"/>
            <family val="3"/>
            <charset val="128"/>
          </rPr>
          <t>「満たす」を選択した場合は、算定する加算の区分等を選択してください。</t>
        </r>
      </text>
    </comment>
    <comment ref="AL41" authorId="0" shapeId="0" xr:uid="{C14AF4D4-4C85-4C14-8D45-91842E1D5EE6}">
      <text>
        <r>
          <rPr>
            <sz val="9"/>
            <color rgb="FF000000"/>
            <rFont val="MS P ゴシック"/>
            <family val="3"/>
            <charset val="128"/>
          </rPr>
          <t>「満たす」を選択した場合は、算定する加算の区分等を選択してください。</t>
        </r>
      </text>
    </comment>
    <comment ref="B47" authorId="0" shapeId="0" xr:uid="{B507C588-EFD7-45BF-8BD3-C4DB209154B8}">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F82FCD73-CEF1-417D-84F8-50574C4FBD9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D1204CB2-5FD6-421C-8CD7-7A3D385B18C8}">
      <text>
        <r>
          <rPr>
            <sz val="9"/>
            <color rgb="FF000000"/>
            <rFont val="MS P ゴシック"/>
            <family val="3"/>
            <charset val="128"/>
          </rPr>
          <t>令和５年度にベア加算を算定し、令和６年４・５月にも継続してベア加算を算定する場合「１」</t>
        </r>
      </text>
    </comment>
    <comment ref="Y4" authorId="0" shapeId="0" xr:uid="{74D77169-0DF1-40AC-BEB1-8FAB0AFC9A97}">
      <text>
        <r>
          <rPr>
            <sz val="9"/>
            <color rgb="FF000000"/>
            <rFont val="MS P ゴシック"/>
            <family val="3"/>
            <charset val="128"/>
          </rPr>
          <t>必ずプルダウンで選択してください。</t>
        </r>
      </text>
    </comment>
    <comment ref="AE4" authorId="0" shapeId="0" xr:uid="{B5D6C908-9728-472B-A07A-07301379B56C}">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418004FE-D850-4D11-8FB7-251EAC0B094B}">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84CF33AF-0291-4AD6-ACC6-6866373D77C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64F2D690-0D58-4CE5-83A7-6EF9EC0028FA}">
      <text>
        <r>
          <rPr>
            <sz val="9"/>
            <color rgb="FF000000"/>
            <rFont val="MS P ゴシック"/>
            <family val="3"/>
            <charset val="128"/>
          </rPr>
          <t>４・５月に処遇Ⅰ、６月以降に処遇Ⅰ相当の加算区分を算定する場合は「１」</t>
        </r>
      </text>
    </comment>
    <comment ref="CI6" authorId="0" shapeId="0" xr:uid="{62D4D87C-5861-4AFA-BB89-52869712BAE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F8657229-4C03-4F12-BF36-00586285759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B519B14-7267-40F0-A6B2-C40B98049638}">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962DA790-BFB3-4B87-A631-4D12C5599787}">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10ED8A-CA18-4116-9A13-01ED42FA407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F4529D2E-EE7C-482C-9CB1-A40BB807E981}">
      <text>
        <r>
          <rPr>
            <sz val="9"/>
            <color rgb="FF000000"/>
            <rFont val="MS P ゴシック"/>
            <family val="3"/>
            <charset val="128"/>
          </rPr>
          <t>算定していない場合は、
「特定加算なし」を選択してください。</t>
        </r>
      </text>
    </comment>
    <comment ref="L9" authorId="0" shapeId="0" xr:uid="{EAA5FFB1-4711-4C08-9D1A-127DCC359A63}">
      <text>
        <r>
          <rPr>
            <sz val="9"/>
            <color rgb="FF000000"/>
            <rFont val="MS P ゴシック"/>
            <family val="3"/>
            <charset val="128"/>
          </rPr>
          <t>算定していない場合は、
「ベア加算なし」を選択してください。</t>
        </r>
      </text>
    </comment>
    <comment ref="V9" authorId="1" shapeId="0" xr:uid="{337D3BBE-77CB-4DBD-9262-2EE356A12284}">
      <text>
        <r>
          <rPr>
            <sz val="9"/>
            <color indexed="81"/>
            <rFont val="MS P ゴシック"/>
            <family val="3"/>
            <charset val="128"/>
          </rPr>
          <t>「新加算Ⅱ」が表示され、加算率が「エラー」と表示された場合は「新加算Ⅰ」と読み替えること。</t>
        </r>
      </text>
    </comment>
    <comment ref="CI9" authorId="0" shapeId="0" xr:uid="{C6846FB8-7BC8-44B4-A9D9-3E00FBB95DBD}">
      <text>
        <r>
          <rPr>
            <sz val="9"/>
            <color rgb="FF000000"/>
            <rFont val="MS P ゴシック"/>
            <family val="3"/>
            <charset val="128"/>
          </rPr>
          <t>キャリアパス要件Ⅴで「満たす」を選択していれば「１」</t>
        </r>
      </text>
    </comment>
    <comment ref="CI10" authorId="0" shapeId="0" xr:uid="{8ED99E4F-3E44-4B0C-B85A-1D3442C6E173}">
      <text>
        <r>
          <rPr>
            <sz val="9"/>
            <color rgb="FF000000"/>
            <rFont val="MS P ゴシック"/>
            <family val="3"/>
            <charset val="128"/>
          </rPr>
          <t>職場環境等要件の上位区分を「満たす」と選択していれば「１」</t>
        </r>
      </text>
    </comment>
    <comment ref="V12" authorId="1" shapeId="0" xr:uid="{26071147-D285-42AD-B3D3-BB55839EEEF6}">
      <text>
        <r>
          <rPr>
            <sz val="9"/>
            <color indexed="81"/>
            <rFont val="MS P ゴシック"/>
            <family val="3"/>
            <charset val="128"/>
          </rPr>
          <t>「新加算Ⅱ」が表示され、加算率が「エラー」と表示された場合は「新加算Ⅰ」と読み替えること。</t>
        </r>
      </text>
    </comment>
    <comment ref="B13" authorId="0" shapeId="0" xr:uid="{4AD94FC3-3434-46DA-A738-5D5ABDF04731}">
      <text>
        <r>
          <rPr>
            <sz val="9"/>
            <color rgb="FF000000"/>
            <rFont val="MS P ゴシック"/>
            <family val="3"/>
            <charset val="128"/>
          </rPr>
          <t>令和６年度の算定対象月を記入してください。</t>
        </r>
      </text>
    </comment>
    <comment ref="F15" authorId="0" shapeId="0" xr:uid="{6DA80C17-67A5-420C-9BB8-7A2671AFDE3F}">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D33A6653-73C5-4C5C-BB6A-BF741689A9D1}">
      <text>
        <r>
          <rPr>
            <sz val="9"/>
            <color indexed="81"/>
            <rFont val="MS P ゴシック"/>
            <family val="3"/>
            <charset val="128"/>
          </rPr>
          <t>「新加算Ⅱ」が表示され、加算率が「エラー」と表示された場合は「新加算Ⅰ」と読み替えること。</t>
        </r>
      </text>
    </comment>
    <comment ref="B18" authorId="0" shapeId="0" xr:uid="{0DF44109-2D1A-4F18-AB5A-8457D7B9FD8F}">
      <text>
        <r>
          <rPr>
            <sz val="9"/>
            <color rgb="FF000000"/>
            <rFont val="MS P ゴシック"/>
            <family val="3"/>
            <charset val="128"/>
          </rPr>
          <t>右欄の選択肢（「満たす」など）から、
それぞれ当てはまるものを選択してください。</t>
        </r>
      </text>
    </comment>
    <comment ref="AL25" authorId="0" shapeId="0" xr:uid="{E3411862-A752-4E16-B575-231ADA54736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6A27FC9-5C07-4D81-B139-C4E440E7D3FD}">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B438E93C-A95F-416A-84E8-DC4B4E0A122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026C5D1-F71B-4042-9299-46E6A5DD9086}">
      <text>
        <r>
          <rPr>
            <sz val="9"/>
            <color rgb="FF000000"/>
            <rFont val="MS P ゴシック"/>
            <family val="3"/>
            <charset val="128"/>
          </rPr>
          <t>小規模事業者等の特例で満たす場合も含む</t>
        </r>
      </text>
    </comment>
    <comment ref="AG37" authorId="0" shapeId="0" xr:uid="{9FDF325B-3ACB-48AC-B2E8-9C846AE7D81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494EAD39-9E04-42E6-A6EB-CE4EBC811AB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C72C5CEB-6953-4FCC-9706-CBD2916454A1}">
      <text>
        <r>
          <rPr>
            <sz val="9"/>
            <color indexed="81"/>
            <rFont val="MS P ゴシック"/>
            <family val="3"/>
            <charset val="128"/>
          </rPr>
          <t>左記に「対象加算なし」が表示された場合は、「満たす」を選択し、「対象加算なし」を選択してください。</t>
        </r>
      </text>
    </comment>
    <comment ref="AL40" authorId="1" shapeId="0" xr:uid="{0C08F706-4734-4A57-B386-A37D4AFCF903}">
      <text>
        <r>
          <rPr>
            <sz val="9"/>
            <color indexed="81"/>
            <rFont val="MS P ゴシック"/>
            <family val="3"/>
            <charset val="128"/>
          </rPr>
          <t>左記に「対象加算なし」が表示された場合は、「満たす」を選択し、「対象加算なし」を選択してください。</t>
        </r>
      </text>
    </comment>
    <comment ref="AD41" authorId="0" shapeId="0" xr:uid="{7504A1AC-F8C0-4E00-A9F4-4196205A46F6}">
      <text>
        <r>
          <rPr>
            <sz val="9"/>
            <color rgb="FF000000"/>
            <rFont val="MS P ゴシック"/>
            <family val="3"/>
            <charset val="128"/>
          </rPr>
          <t>「満たす」を選択した場合は、算定する加算の区分等を選択してください。</t>
        </r>
      </text>
    </comment>
    <comment ref="AL41" authorId="0" shapeId="0" xr:uid="{2F5FCAA2-E981-4B2E-A058-3CE3AAB0EE06}">
      <text>
        <r>
          <rPr>
            <sz val="9"/>
            <color rgb="FF000000"/>
            <rFont val="MS P ゴシック"/>
            <family val="3"/>
            <charset val="128"/>
          </rPr>
          <t>「満たす」を選択した場合は、算定する加算の区分等を選択してください。</t>
        </r>
      </text>
    </comment>
    <comment ref="B47" authorId="0" shapeId="0" xr:uid="{392B3F71-B42A-4F80-9670-FCC06E637F2B}">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1427909F-DD73-4011-A7D4-836903C4A761}">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01C5E5B5-7DAA-4BDE-9175-0359253BAF46}">
      <text>
        <r>
          <rPr>
            <sz val="9"/>
            <color rgb="FF000000"/>
            <rFont val="MS P ゴシック"/>
            <family val="3"/>
            <charset val="128"/>
          </rPr>
          <t>令和５年度にベア加算を算定し、令和６年４・５月にも継続してベア加算を算定する場合「１」</t>
        </r>
      </text>
    </comment>
    <comment ref="Y4" authorId="0" shapeId="0" xr:uid="{5437DBC6-126A-4C37-A1DC-4A165055F52B}">
      <text>
        <r>
          <rPr>
            <sz val="9"/>
            <color rgb="FF000000"/>
            <rFont val="MS P ゴシック"/>
            <family val="3"/>
            <charset val="128"/>
          </rPr>
          <t>必ずプルダウンで選択してください。</t>
        </r>
      </text>
    </comment>
    <comment ref="AE4" authorId="0" shapeId="0" xr:uid="{E27C2B54-3445-423B-AE35-F8865BEB1946}">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7C5B3E69-07EE-4DC6-AB3A-20A627F0E721}">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9562FB30-B5A6-4554-85DA-342DF30B4809}">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FE84A47-C4C9-42EE-9886-6618BE05D7AB}">
      <text>
        <r>
          <rPr>
            <sz val="9"/>
            <color rgb="FF000000"/>
            <rFont val="MS P ゴシック"/>
            <family val="3"/>
            <charset val="128"/>
          </rPr>
          <t>４・５月に処遇Ⅰ、６月以降に処遇Ⅰ相当の加算区分を算定する場合は「１」</t>
        </r>
      </text>
    </comment>
    <comment ref="CI6" authorId="0" shapeId="0" xr:uid="{4E960BF7-DC29-46C0-BC27-67967897CF4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F5F629F-423D-4C37-99BB-ED3529D5C18D}">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E4DB34DF-1C7D-418D-A7A7-44AC44A289D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1904BFB8-4B4A-4167-9DAB-17B593830F7F}">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83BA929-34B6-41AB-A11E-FF00427F0405}">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A97384AA-7BB5-4047-8BC5-FB5F0104A732}">
      <text>
        <r>
          <rPr>
            <sz val="9"/>
            <color rgb="FF000000"/>
            <rFont val="MS P ゴシック"/>
            <family val="3"/>
            <charset val="128"/>
          </rPr>
          <t>算定していない場合は、
「特定加算なし」を選択してください。</t>
        </r>
      </text>
    </comment>
    <comment ref="L9" authorId="0" shapeId="0" xr:uid="{136108A5-6C4C-44E6-87E3-AAA39E4182B5}">
      <text>
        <r>
          <rPr>
            <sz val="9"/>
            <color rgb="FF000000"/>
            <rFont val="MS P ゴシック"/>
            <family val="3"/>
            <charset val="128"/>
          </rPr>
          <t>算定していない場合は、
「ベア加算なし」を選択してください。</t>
        </r>
      </text>
    </comment>
    <comment ref="V9" authorId="1" shapeId="0" xr:uid="{823DCAFB-2193-475D-B7E6-7E0B8DBAC15C}">
      <text>
        <r>
          <rPr>
            <sz val="9"/>
            <color indexed="81"/>
            <rFont val="MS P ゴシック"/>
            <family val="3"/>
            <charset val="128"/>
          </rPr>
          <t>「新加算Ⅱ」が表示され、加算率が「エラー」と表示された場合は「新加算Ⅰ」と読み替えること。</t>
        </r>
      </text>
    </comment>
    <comment ref="CI9" authorId="0" shapeId="0" xr:uid="{1B607136-8E70-4722-81B9-E3B7C890BCD8}">
      <text>
        <r>
          <rPr>
            <sz val="9"/>
            <color rgb="FF000000"/>
            <rFont val="MS P ゴシック"/>
            <family val="3"/>
            <charset val="128"/>
          </rPr>
          <t>キャリアパス要件Ⅴで「満たす」を選択していれば「１」</t>
        </r>
      </text>
    </comment>
    <comment ref="CI10" authorId="0" shapeId="0" xr:uid="{7B5C19DB-C64E-4992-9FDC-D44012CAB0F1}">
      <text>
        <r>
          <rPr>
            <sz val="9"/>
            <color rgb="FF000000"/>
            <rFont val="MS P ゴシック"/>
            <family val="3"/>
            <charset val="128"/>
          </rPr>
          <t>職場環境等要件の上位区分を「満たす」と選択していれば「１」</t>
        </r>
      </text>
    </comment>
    <comment ref="V12" authorId="1" shapeId="0" xr:uid="{CB759AA4-CF4C-4D6F-8A70-8D647C2B7218}">
      <text>
        <r>
          <rPr>
            <sz val="9"/>
            <color indexed="81"/>
            <rFont val="MS P ゴシック"/>
            <family val="3"/>
            <charset val="128"/>
          </rPr>
          <t>「新加算Ⅱ」が表示され、加算率が「エラー」と表示された場合は「新加算Ⅰ」と読み替えること。</t>
        </r>
      </text>
    </comment>
    <comment ref="B13" authorId="0" shapeId="0" xr:uid="{824422A2-BEC7-44A4-A6D6-681E9064B7D0}">
      <text>
        <r>
          <rPr>
            <sz val="9"/>
            <color rgb="FF000000"/>
            <rFont val="MS P ゴシック"/>
            <family val="3"/>
            <charset val="128"/>
          </rPr>
          <t>令和６年度の算定対象月を記入してください。</t>
        </r>
      </text>
    </comment>
    <comment ref="F15" authorId="0" shapeId="0" xr:uid="{7428881B-C835-4DFA-8835-4AB486E79BE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33F0095A-AC4B-422F-BAC4-8F59A8F6D68B}">
      <text>
        <r>
          <rPr>
            <sz val="9"/>
            <color indexed="81"/>
            <rFont val="MS P ゴシック"/>
            <family val="3"/>
            <charset val="128"/>
          </rPr>
          <t>「新加算Ⅱ」が表示され、加算率が「エラー」と表示された場合は「新加算Ⅰ」と読み替えること。</t>
        </r>
      </text>
    </comment>
    <comment ref="B18" authorId="0" shapeId="0" xr:uid="{910DCD3F-7D47-4BE9-9EA2-BCA94C794D03}">
      <text>
        <r>
          <rPr>
            <sz val="9"/>
            <color rgb="FF000000"/>
            <rFont val="MS P ゴシック"/>
            <family val="3"/>
            <charset val="128"/>
          </rPr>
          <t>右欄の選択肢（「満たす」など）から、
それぞれ当てはまるものを選択してください。</t>
        </r>
      </text>
    </comment>
    <comment ref="AL25" authorId="0" shapeId="0" xr:uid="{D9107DAC-340B-4440-9C9D-6259CDA62C1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399E5E8-7796-45EA-BD8E-04A12D7B53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4CE7D430-C9AC-460D-BF5F-6FAEA0D056EE}">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831EFF3C-6F88-4A93-B575-DD2D7A23D62F}">
      <text>
        <r>
          <rPr>
            <sz val="9"/>
            <color rgb="FF000000"/>
            <rFont val="MS P ゴシック"/>
            <family val="3"/>
            <charset val="128"/>
          </rPr>
          <t>小規模事業者等の特例で満たす場合も含む</t>
        </r>
      </text>
    </comment>
    <comment ref="AG37" authorId="0" shapeId="0" xr:uid="{0FB44947-6433-4FF5-ABB2-CB8319767E6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ADE04C6A-AA75-4BC6-BA8C-DA1F2C81567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7A68BA8A-7097-4EBD-A804-AB9092B98AA9}">
      <text>
        <r>
          <rPr>
            <sz val="9"/>
            <color indexed="81"/>
            <rFont val="MS P ゴシック"/>
            <family val="3"/>
            <charset val="128"/>
          </rPr>
          <t>左記に「対象加算なし」が表示された場合は、「満たす」を選択し、「対象加算なし」を選択してください。</t>
        </r>
      </text>
    </comment>
    <comment ref="AL40" authorId="1" shapeId="0" xr:uid="{8C5C2E6A-4476-4D3B-9D32-247C415827C6}">
      <text>
        <r>
          <rPr>
            <sz val="9"/>
            <color indexed="81"/>
            <rFont val="MS P ゴシック"/>
            <family val="3"/>
            <charset val="128"/>
          </rPr>
          <t>左記に「対象加算なし」が表示された場合は、「満たす」を選択し、「対象加算なし」を選択してください。</t>
        </r>
      </text>
    </comment>
    <comment ref="AD41" authorId="0" shapeId="0" xr:uid="{7E74BDEE-EB4E-4DB3-950B-370E1FAF4FB2}">
      <text>
        <r>
          <rPr>
            <sz val="9"/>
            <color rgb="FF000000"/>
            <rFont val="MS P ゴシック"/>
            <family val="3"/>
            <charset val="128"/>
          </rPr>
          <t>「満たす」を選択した場合は、算定する加算の区分等を選択してください。</t>
        </r>
      </text>
    </comment>
    <comment ref="AL41" authorId="0" shapeId="0" xr:uid="{F570177F-4C0B-4105-9B22-ABADBD362BB8}">
      <text>
        <r>
          <rPr>
            <sz val="9"/>
            <color rgb="FF000000"/>
            <rFont val="MS P ゴシック"/>
            <family val="3"/>
            <charset val="128"/>
          </rPr>
          <t>「満たす」を選択した場合は、算定する加算の区分等を選択してください。</t>
        </r>
      </text>
    </comment>
    <comment ref="B47" authorId="0" shapeId="0" xr:uid="{7F8D82BF-B19B-48EC-9F73-3E86CDC468B6}">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多賀 朱花(taga-ayaka.j16)</author>
  </authors>
  <commentList>
    <comment ref="AI1" authorId="0" shapeId="0" xr:uid="{8987CDB5-DE51-4435-876D-FE19BF8E0615}">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7491F47-039F-4DF4-8037-0F9E01A62EB6}">
      <text>
        <r>
          <rPr>
            <sz val="9"/>
            <color rgb="FF000000"/>
            <rFont val="MS P ゴシック"/>
            <family val="3"/>
            <charset val="128"/>
          </rPr>
          <t>令和５年度にベア加算を算定し、令和６年４・５月にも継続してベア加算を算定する場合「１」</t>
        </r>
      </text>
    </comment>
    <comment ref="Y4" authorId="0" shapeId="0" xr:uid="{12018AEB-6FA1-44CE-A5E4-F9DC1F84CA2E}">
      <text>
        <r>
          <rPr>
            <sz val="9"/>
            <color rgb="FF000000"/>
            <rFont val="MS P ゴシック"/>
            <family val="3"/>
            <charset val="128"/>
          </rPr>
          <t>必ずプルダウンで選択してください。</t>
        </r>
      </text>
    </comment>
    <comment ref="AE4" authorId="0" shapeId="0" xr:uid="{81D7080A-181B-465C-B882-ABC6AA0E7CE3}">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xr:uid="{B69003C2-C8B8-4FDB-B55B-39A003198BB7}">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xr:uid="{00D0558C-039A-474E-A92D-9B71BF1EC5E3}">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5A082C71-BE39-414F-8AF0-95F91C33F4F8}">
      <text>
        <r>
          <rPr>
            <sz val="9"/>
            <color rgb="FF000000"/>
            <rFont val="MS P ゴシック"/>
            <family val="3"/>
            <charset val="128"/>
          </rPr>
          <t>４・５月に処遇Ⅰ、６月以降に処遇Ⅰ相当の加算区分を算定する場合は「１」</t>
        </r>
      </text>
    </comment>
    <comment ref="CI6" authorId="0" shapeId="0" xr:uid="{6AAA06B1-6346-4F3C-9FBC-4EC9BCB2C52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D827D40B-17E5-4632-BAC6-67651D202E2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46B7F019-95AA-4CE6-8032-C354ECAFC427}">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DECB32CA-6B66-4F14-8887-BDCFB40C0BB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A687FF0D-E4C0-424C-97DB-891C87D76A1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53DCD5A-8B11-43D9-B7F6-3F1A9003C393}">
      <text>
        <r>
          <rPr>
            <sz val="9"/>
            <color rgb="FF000000"/>
            <rFont val="MS P ゴシック"/>
            <family val="3"/>
            <charset val="128"/>
          </rPr>
          <t>算定していない場合は、
「特定加算なし」を選択してください。</t>
        </r>
      </text>
    </comment>
    <comment ref="L9" authorId="0" shapeId="0" xr:uid="{1E8C1A35-0CBE-4B52-8D7A-46153AA38569}">
      <text>
        <r>
          <rPr>
            <sz val="9"/>
            <color rgb="FF000000"/>
            <rFont val="MS P ゴシック"/>
            <family val="3"/>
            <charset val="128"/>
          </rPr>
          <t>算定していない場合は、
「ベア加算なし」を選択してください。</t>
        </r>
      </text>
    </comment>
    <comment ref="V9" authorId="1" shapeId="0" xr:uid="{D6B4CB13-D5E6-4298-89BF-F7F9402BD7C4}">
      <text>
        <r>
          <rPr>
            <sz val="9"/>
            <color indexed="81"/>
            <rFont val="MS P ゴシック"/>
            <family val="3"/>
            <charset val="128"/>
          </rPr>
          <t>「新加算Ⅱ」が表示され、加算率が「エラー」と表示された場合は「新加算Ⅰ」と読み替えること。</t>
        </r>
      </text>
    </comment>
    <comment ref="CI9" authorId="0" shapeId="0" xr:uid="{D4B9D1A1-9ADD-4EEB-A8D6-01156293D08A}">
      <text>
        <r>
          <rPr>
            <sz val="9"/>
            <color rgb="FF000000"/>
            <rFont val="MS P ゴシック"/>
            <family val="3"/>
            <charset val="128"/>
          </rPr>
          <t>キャリアパス要件Ⅴで「満たす」を選択していれば「１」</t>
        </r>
      </text>
    </comment>
    <comment ref="CI10" authorId="0" shapeId="0" xr:uid="{5A179C94-C63A-4833-8FED-DCFD685C4B96}">
      <text>
        <r>
          <rPr>
            <sz val="9"/>
            <color rgb="FF000000"/>
            <rFont val="MS P ゴシック"/>
            <family val="3"/>
            <charset val="128"/>
          </rPr>
          <t>職場環境等要件の上位区分を「満たす」と選択していれば「１」</t>
        </r>
      </text>
    </comment>
    <comment ref="V12" authorId="1" shapeId="0" xr:uid="{C14171E4-93E3-4561-B5C3-D76B549A105C}">
      <text>
        <r>
          <rPr>
            <sz val="9"/>
            <color indexed="81"/>
            <rFont val="MS P ゴシック"/>
            <family val="3"/>
            <charset val="128"/>
          </rPr>
          <t>「新加算Ⅱ」が表示され、加算率が「エラー」と表示された場合は「新加算Ⅰ」と読み替えること。</t>
        </r>
      </text>
    </comment>
    <comment ref="B13" authorId="0" shapeId="0" xr:uid="{441DE50B-12A3-4328-9A50-E27BD2EA0A05}">
      <text>
        <r>
          <rPr>
            <sz val="9"/>
            <color rgb="FF000000"/>
            <rFont val="MS P ゴシック"/>
            <family val="3"/>
            <charset val="128"/>
          </rPr>
          <t>令和６年度の算定対象月を記入してください。</t>
        </r>
      </text>
    </comment>
    <comment ref="F15" authorId="0" shapeId="0" xr:uid="{8B3179F3-8529-48E4-9792-436C65DFED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xr:uid="{8CCE426E-BC1B-4ADB-A6E5-11D284C1A7F3}">
      <text>
        <r>
          <rPr>
            <sz val="9"/>
            <color indexed="81"/>
            <rFont val="MS P ゴシック"/>
            <family val="3"/>
            <charset val="128"/>
          </rPr>
          <t>「新加算Ⅱ」が表示され、加算率が「エラー」と表示された場合は「新加算Ⅰ」と読み替えること。</t>
        </r>
      </text>
    </comment>
    <comment ref="B18" authorId="0" shapeId="0" xr:uid="{15AC9C50-8AF8-4B35-AB1E-87DCE719C2CB}">
      <text>
        <r>
          <rPr>
            <sz val="9"/>
            <color rgb="FF000000"/>
            <rFont val="MS P ゴシック"/>
            <family val="3"/>
            <charset val="128"/>
          </rPr>
          <t>右欄の選択肢（「満たす」など）から、
それぞれ当てはまるものを選択してください。</t>
        </r>
      </text>
    </comment>
    <comment ref="AL25" authorId="0" shapeId="0" xr:uid="{D7D622D1-2967-40D1-AF70-B048094AB132}">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AA1B8A94-F16B-40DB-94D7-C80479E28C2A}">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921DEE2-2AB1-42F1-A539-4A5EB041481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E5A7372-0B05-4BE7-95C8-56E7BB4717E8}">
      <text>
        <r>
          <rPr>
            <sz val="9"/>
            <color rgb="FF000000"/>
            <rFont val="MS P ゴシック"/>
            <family val="3"/>
            <charset val="128"/>
          </rPr>
          <t>小規模事業者等の特例で満たす場合も含む</t>
        </r>
      </text>
    </comment>
    <comment ref="AG37" authorId="0" shapeId="0" xr:uid="{834DDCC8-48DC-4A8C-A0A3-959811C9C8E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xr:uid="{51BED3CC-3E0F-4C34-870D-127363B4E111}">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xr:uid="{AC10B7B7-9DD6-423A-9FD0-2525793380CE}">
      <text>
        <r>
          <rPr>
            <sz val="9"/>
            <color indexed="81"/>
            <rFont val="MS P ゴシック"/>
            <family val="3"/>
            <charset val="128"/>
          </rPr>
          <t>左記に「対象加算なし」が表示された場合は、「満たす」を選択し、「対象加算なし」を選択してください。</t>
        </r>
      </text>
    </comment>
    <comment ref="AL40" authorId="1" shapeId="0" xr:uid="{9AC2926A-8038-4BE3-A64E-832AC7698E98}">
      <text>
        <r>
          <rPr>
            <sz val="9"/>
            <color indexed="81"/>
            <rFont val="MS P ゴシック"/>
            <family val="3"/>
            <charset val="128"/>
          </rPr>
          <t>左記に「対象加算なし」が表示された場合は、「満たす」を選択し、「対象加算なし」を選択してください。</t>
        </r>
      </text>
    </comment>
    <comment ref="AD41" authorId="0" shapeId="0" xr:uid="{0603E8BF-8D0E-445B-A654-6DD035BD78F5}">
      <text>
        <r>
          <rPr>
            <sz val="9"/>
            <color rgb="FF000000"/>
            <rFont val="MS P ゴシック"/>
            <family val="3"/>
            <charset val="128"/>
          </rPr>
          <t>「満たす」を選択した場合は、算定する加算の区分等を選択してください。</t>
        </r>
      </text>
    </comment>
    <comment ref="AL41" authorId="0" shapeId="0" xr:uid="{FD1FF52E-473A-491B-9A19-5DA5C38A14EB}">
      <text>
        <r>
          <rPr>
            <sz val="9"/>
            <color rgb="FF000000"/>
            <rFont val="MS P ゴシック"/>
            <family val="3"/>
            <charset val="128"/>
          </rPr>
          <t>「満たす」を選択した場合は、算定する加算の区分等を選択してください。</t>
        </r>
      </text>
    </comment>
    <comment ref="B47" authorId="0" shapeId="0" xr:uid="{0D55B04D-C1EB-4134-ADC3-D9DF8402E2DE}">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<sst xmlns="http://schemas.openxmlformats.org/spreadsheetml/2006/main" count="6514" uniqueCount="2397">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</sst>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80">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76" fillId="8" borderId="5" xfId="2" applyFont="1" applyFill="1" applyBorder="1" applyProtection="1">
      <alignmen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9" fillId="9" borderId="55"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29" fillId="0" borderId="0" xfId="2" applyFont="1" applyBorder="1" applyAlignment="1" applyProtection="1">
      <alignment horizontal="left" vertical="center" wrapText="1"/>
    </xf>
    <xf numFmtId="0" fontId="25" fillId="2" borderId="0" xfId="2" applyFont="1" applyFill="1" applyAlignment="1" applyProtection="1">
      <alignment vertical="center" wrapText="1"/>
    </xf>
    <xf numFmtId="0" fontId="29" fillId="0" borderId="0" xfId="2" applyFont="1" applyAlignment="1" applyProtection="1">
      <alignment horizontal="left" vertical="center"/>
    </xf>
    <xf numFmtId="0" fontId="78" fillId="0" borderId="139" xfId="2" applyFont="1" applyBorder="1" applyAlignment="1" applyProtection="1">
      <alignment horizontal="center" vertical="center"/>
    </xf>
    <xf numFmtId="0" fontId="17" fillId="2" borderId="0" xfId="2" applyFont="1" applyFill="1" applyAlignment="1" applyProtection="1">
      <alignment horizontal="left" vertical="center" wrapText="1"/>
    </xf>
    <xf numFmtId="0" fontId="25" fillId="2" borderId="0" xfId="2" applyFont="1" applyFill="1" applyAlignment="1" applyProtection="1">
      <alignment horizontal="left" vertical="center" wrapText="1"/>
    </xf>
    <xf numFmtId="2" fontId="44" fillId="2" borderId="0" xfId="2" applyNumberFormat="1" applyFont="1" applyFill="1" applyAlignment="1" applyProtection="1">
      <alignment horizontal="center" vertical="center" shrinkToFit="1"/>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25" fillId="2" borderId="0" xfId="2" applyFont="1" applyFill="1" applyAlignment="1" applyProtection="1">
      <alignment horizontal="left" vertical="top" wrapText="1"/>
    </xf>
    <xf numFmtId="0" fontId="34" fillId="2" borderId="0" xfId="2" applyFont="1" applyFill="1" applyAlignment="1" applyProtection="1">
      <alignment horizontal="left" vertical="top" wrapText="1"/>
    </xf>
    <xf numFmtId="0" fontId="21" fillId="2" borderId="15" xfId="2"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13" fillId="2" borderId="1" xfId="2" applyFont="1" applyFill="1" applyBorder="1" applyAlignment="1" applyProtection="1">
      <alignment horizontal="center" vertical="center"/>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0" borderId="139" xfId="0" applyFont="1" applyBorder="1" applyAlignment="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9" fillId="3" borderId="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xf numFmtId="0" fontId="13" fillId="7" borderId="1" xfId="2" applyFont="1" applyFill="1" applyBorder="1" applyAlignment="1" applyProtection="1">
      <alignment horizontal="center" vertical="center"/>
    </xf>
    <xf numFmtId="0" fontId="21" fillId="7" borderId="47" xfId="2" applyFont="1" applyFill="1" applyBorder="1" applyAlignment="1" applyProtection="1">
      <alignment horizontal="left" vertical="center"/>
    </xf>
    <xf numFmtId="0" fontId="21" fillId="7" borderId="48" xfId="2" applyFont="1" applyFill="1" applyBorder="1" applyAlignment="1" applyProtection="1">
      <alignment horizontal="left" vertical="center"/>
    </xf>
    <xf numFmtId="0" fontId="21" fillId="7" borderId="15" xfId="2" applyFont="1" applyFill="1" applyBorder="1" applyAlignment="1" applyProtection="1">
      <alignment horizontal="left" vertical="center" wrapText="1"/>
    </xf>
    <xf numFmtId="0" fontId="21" fillId="7" borderId="20" xfId="2" applyFont="1" applyFill="1" applyBorder="1" applyAlignment="1" applyProtection="1">
      <alignment horizontal="left" vertical="center" wrapText="1"/>
    </xf>
    <xf numFmtId="0" fontId="21" fillId="7" borderId="47" xfId="2" applyFont="1" applyFill="1" applyBorder="1" applyAlignment="1" applyProtection="1">
      <alignment horizontal="center" vertical="center"/>
    </xf>
    <xf numFmtId="0" fontId="21" fillId="7" borderId="48" xfId="2" applyFont="1" applyFill="1" applyBorder="1" applyAlignment="1" applyProtection="1">
      <alignment horizontal="center" vertical="center"/>
    </xf>
    <xf numFmtId="0" fontId="21" fillId="7" borderId="153" xfId="2" applyFont="1" applyFill="1" applyBorder="1" applyAlignment="1" applyProtection="1">
      <alignment horizontal="left" vertical="center"/>
    </xf>
    <xf numFmtId="0" fontId="21" fillId="7" borderId="49" xfId="2" applyFont="1" applyFill="1" applyBorder="1" applyAlignment="1" applyProtection="1">
      <alignment horizontal="left" vertical="center"/>
    </xf>
    <xf numFmtId="0" fontId="21" fillId="7" borderId="154" xfId="2" applyFont="1" applyFill="1" applyBorder="1" applyAlignment="1" applyProtection="1">
      <alignment horizontal="left" vertical="center"/>
    </xf>
    <xf numFmtId="0" fontId="21" fillId="7" borderId="19" xfId="2" applyFont="1" applyFill="1" applyBorder="1" applyAlignment="1" applyProtection="1">
      <alignment horizontal="left" vertical="center"/>
    </xf>
    <xf numFmtId="0" fontId="21" fillId="7" borderId="15" xfId="2" applyFont="1" applyFill="1" applyBorder="1" applyAlignment="1" applyProtection="1">
      <alignment horizontal="left" vertical="center"/>
    </xf>
    <xf numFmtId="0" fontId="21" fillId="7" borderId="20" xfId="2" applyFont="1" applyFill="1" applyBorder="1" applyAlignment="1" applyProtection="1">
      <alignment horizontal="left" vertical="center"/>
    </xf>
    <xf numFmtId="0" fontId="21" fillId="7" borderId="2" xfId="2" applyFont="1" applyFill="1" applyBorder="1" applyAlignment="1" applyProtection="1">
      <alignment horizontal="center" vertical="center" shrinkToFit="1"/>
    </xf>
    <xf numFmtId="0" fontId="21" fillId="7" borderId="3" xfId="2" applyFont="1" applyFill="1" applyBorder="1" applyAlignment="1" applyProtection="1">
      <alignment horizontal="center" vertical="center" shrinkToFit="1"/>
    </xf>
    <xf numFmtId="0" fontId="21" fillId="7" borderId="4" xfId="2" applyFont="1" applyFill="1" applyBorder="1" applyAlignment="1" applyProtection="1">
      <alignment horizontal="center" vertical="center" shrinkToFit="1"/>
    </xf>
    <xf numFmtId="0" fontId="100" fillId="7" borderId="2" xfId="5" applyFill="1" applyBorder="1" applyAlignment="1" applyProtection="1">
      <alignment horizontal="center" vertical="center" shrinkToFit="1"/>
    </xf>
    <xf numFmtId="177" fontId="28" fillId="8" borderId="27" xfId="3" applyNumberFormat="1" applyFont="1" applyFill="1" applyBorder="1" applyAlignment="1" applyProtection="1">
      <alignment horizontal="right" vertical="center"/>
    </xf>
    <xf numFmtId="177" fontId="28" fillId="8" borderId="28" xfId="3" applyNumberFormat="1" applyFont="1" applyFill="1" applyBorder="1" applyAlignment="1" applyProtection="1">
      <alignment horizontal="right" vertical="center"/>
    </xf>
    <xf numFmtId="177" fontId="28" fillId="8" borderId="46" xfId="3" applyNumberFormat="1" applyFont="1" applyFill="1" applyBorder="1" applyAlignment="1" applyProtection="1">
      <alignment horizontal="right" vertical="center"/>
    </xf>
    <xf numFmtId="0" fontId="21" fillId="8" borderId="59" xfId="2" applyFont="1" applyFill="1" applyBorder="1" applyAlignment="1" applyProtection="1">
      <alignment horizontal="center" vertical="center"/>
    </xf>
    <xf numFmtId="0" fontId="21" fillId="8" borderId="23" xfId="2" applyFont="1" applyFill="1" applyBorder="1" applyAlignment="1" applyProtection="1">
      <alignment horizontal="center" vertical="center"/>
    </xf>
    <xf numFmtId="0" fontId="21" fillId="8" borderId="8" xfId="2" applyFont="1" applyFill="1" applyBorder="1" applyAlignment="1" applyProtection="1">
      <alignment horizontal="center" vertical="center"/>
    </xf>
    <xf numFmtId="0" fontId="21" fillId="8" borderId="15" xfId="2" applyFont="1" applyFill="1" applyBorder="1" applyAlignment="1" applyProtection="1">
      <alignment horizontal="center" vertical="center" shrinkToFit="1"/>
    </xf>
    <xf numFmtId="0" fontId="32" fillId="8" borderId="0" xfId="2" applyFont="1" applyFill="1" applyAlignment="1" applyProtection="1">
      <alignment horizontal="center" vertical="center" shrinkToFit="1"/>
    </xf>
    <xf numFmtId="0" fontId="25" fillId="8" borderId="25" xfId="2" applyFont="1" applyFill="1" applyBorder="1" applyAlignment="1" applyProtection="1">
      <alignment horizontal="left" vertical="top" wrapText="1"/>
    </xf>
    <xf numFmtId="0" fontId="25" fillId="8" borderId="17" xfId="2" applyFont="1" applyFill="1" applyBorder="1" applyAlignment="1" applyProtection="1">
      <alignment horizontal="left" vertical="top" wrapText="1"/>
    </xf>
    <xf numFmtId="0" fontId="25" fillId="8" borderId="26" xfId="2" applyFont="1" applyFill="1" applyBorder="1" applyAlignment="1" applyProtection="1">
      <alignment horizontal="left" vertical="top" wrapText="1"/>
    </xf>
    <xf numFmtId="0" fontId="25" fillId="8" borderId="14" xfId="2" applyFont="1" applyFill="1" applyBorder="1" applyAlignment="1" applyProtection="1">
      <alignment horizontal="left" vertical="top" wrapText="1"/>
    </xf>
    <xf numFmtId="0" fontId="25" fillId="8" borderId="0" xfId="2" applyFont="1" applyFill="1" applyAlignment="1" applyProtection="1">
      <alignment horizontal="left" vertical="top" wrapText="1"/>
    </xf>
    <xf numFmtId="0" fontId="25" fillId="8" borderId="43" xfId="2" applyFont="1" applyFill="1" applyBorder="1" applyAlignment="1" applyProtection="1">
      <alignment horizontal="left" vertical="top" wrapText="1"/>
    </xf>
    <xf numFmtId="0" fontId="25" fillId="8" borderId="62" xfId="2" applyFont="1" applyFill="1" applyBorder="1" applyAlignment="1" applyProtection="1">
      <alignment horizontal="left" vertical="top" wrapText="1"/>
    </xf>
    <xf numFmtId="0" fontId="25" fillId="8" borderId="15" xfId="2" applyFont="1" applyFill="1" applyBorder="1" applyAlignment="1" applyProtection="1">
      <alignment horizontal="left" vertical="top" wrapText="1"/>
    </xf>
    <xf numFmtId="0" fontId="25" fillId="8" borderId="63" xfId="2" applyFont="1" applyFill="1" applyBorder="1" applyAlignment="1" applyProtection="1">
      <alignment horizontal="left" vertical="top" wrapText="1"/>
    </xf>
    <xf numFmtId="0" fontId="19" fillId="8" borderId="1" xfId="2" applyFont="1" applyFill="1" applyBorder="1" applyAlignment="1" applyProtection="1">
      <alignment horizontal="center" vertical="center"/>
    </xf>
    <xf numFmtId="0" fontId="19" fillId="8" borderId="5" xfId="2" applyFont="1" applyFill="1" applyBorder="1" applyAlignment="1" applyProtection="1">
      <alignment horizontal="center" vertical="center"/>
    </xf>
    <xf numFmtId="0" fontId="34" fillId="8" borderId="1" xfId="2" applyFont="1" applyFill="1" applyBorder="1" applyAlignment="1" applyProtection="1">
      <alignment horizontal="left" vertical="center" wrapText="1" shrinkToFit="1"/>
    </xf>
    <xf numFmtId="0" fontId="34" fillId="8" borderId="30" xfId="2" applyFont="1" applyFill="1" applyBorder="1" applyAlignment="1" applyProtection="1">
      <alignment horizontal="left" vertical="center" wrapText="1" shrinkToFit="1"/>
    </xf>
    <xf numFmtId="0" fontId="34" fillId="8" borderId="35" xfId="2" applyFont="1" applyFill="1" applyBorder="1" applyAlignment="1" applyProtection="1">
      <alignment horizontal="left" vertical="center" wrapText="1" shrinkToFit="1"/>
    </xf>
    <xf numFmtId="0" fontId="34" fillId="8" borderId="37" xfId="2" applyFont="1" applyFill="1" applyBorder="1" applyAlignment="1" applyProtection="1">
      <alignment horizontal="left" vertical="center" wrapText="1" shrinkToFit="1"/>
    </xf>
    <xf numFmtId="177" fontId="12" fillId="3" borderId="2" xfId="3" applyNumberFormat="1" applyFont="1" applyFill="1" applyBorder="1" applyAlignment="1" applyProtection="1">
      <alignment horizontal="right" vertical="center"/>
    </xf>
    <xf numFmtId="177" fontId="12" fillId="3" borderId="3" xfId="3" applyNumberFormat="1" applyFont="1" applyFill="1" applyBorder="1" applyAlignment="1" applyProtection="1">
      <alignment horizontal="right" vertical="center"/>
    </xf>
    <xf numFmtId="177" fontId="12" fillId="3" borderId="44" xfId="3" applyNumberFormat="1" applyFont="1" applyFill="1" applyBorder="1" applyAlignment="1" applyProtection="1">
      <alignment horizontal="right" vertical="center"/>
    </xf>
    <xf numFmtId="177" fontId="20" fillId="10" borderId="58" xfId="3" applyNumberFormat="1" applyFont="1" applyFill="1" applyBorder="1" applyAlignment="1" applyProtection="1">
      <alignment horizontal="right" vertical="center"/>
    </xf>
    <xf numFmtId="177" fontId="20" fillId="10" borderId="59" xfId="3" applyNumberFormat="1" applyFont="1" applyFill="1" applyBorder="1" applyAlignment="1" applyProtection="1">
      <alignment horizontal="right" vertical="center"/>
    </xf>
    <xf numFmtId="177" fontId="20" fillId="10" borderId="60" xfId="3" applyNumberFormat="1" applyFont="1" applyFill="1" applyBorder="1" applyAlignment="1" applyProtection="1">
      <alignment horizontal="right" vertical="center"/>
    </xf>
    <xf numFmtId="177" fontId="20" fillId="10" borderId="68" xfId="3" applyNumberFormat="1" applyFont="1" applyFill="1" applyBorder="1" applyAlignment="1" applyProtection="1">
      <alignment horizontal="right" vertical="center"/>
    </xf>
    <xf numFmtId="177" fontId="20" fillId="10" borderId="69" xfId="3" applyNumberFormat="1" applyFont="1" applyFill="1" applyBorder="1" applyAlignment="1" applyProtection="1">
      <alignment horizontal="right" vertical="center"/>
    </xf>
    <xf numFmtId="177" fontId="20" fillId="10" borderId="70" xfId="3" applyNumberFormat="1" applyFont="1" applyFill="1" applyBorder="1" applyAlignment="1" applyProtection="1">
      <alignment horizontal="right" vertical="center"/>
    </xf>
    <xf numFmtId="177" fontId="20" fillId="6" borderId="52" xfId="3" applyNumberFormat="1" applyFont="1" applyFill="1" applyBorder="1" applyAlignment="1" applyProtection="1">
      <alignment horizontal="right" vertical="center"/>
    </xf>
    <xf numFmtId="177" fontId="20" fillId="6" borderId="77" xfId="3" applyNumberFormat="1" applyFont="1" applyFill="1" applyBorder="1" applyAlignment="1" applyProtection="1">
      <alignment horizontal="right" vertical="center"/>
    </xf>
    <xf numFmtId="177" fontId="20" fillId="6" borderId="53" xfId="3" applyNumberFormat="1" applyFont="1" applyFill="1" applyBorder="1" applyAlignment="1" applyProtection="1">
      <alignment horizontal="right" vertical="center"/>
    </xf>
    <xf numFmtId="177" fontId="20" fillId="6" borderId="94" xfId="3" applyNumberFormat="1" applyFont="1" applyFill="1" applyBorder="1" applyAlignment="1" applyProtection="1">
      <alignment horizontal="right" vertical="center"/>
    </xf>
    <xf numFmtId="177" fontId="20" fillId="6" borderId="65" xfId="3" applyNumberFormat="1" applyFont="1" applyFill="1" applyBorder="1" applyAlignment="1" applyProtection="1">
      <alignment horizontal="right" vertical="center"/>
    </xf>
    <xf numFmtId="177" fontId="20" fillId="6" borderId="108" xfId="3" applyNumberFormat="1" applyFont="1" applyFill="1" applyBorder="1" applyAlignment="1" applyProtection="1">
      <alignment horizontal="right" vertical="center"/>
    </xf>
    <xf numFmtId="177" fontId="20" fillId="6" borderId="14" xfId="3" applyNumberFormat="1" applyFont="1" applyFill="1" applyBorder="1" applyAlignment="1" applyProtection="1">
      <alignment horizontal="right" vertical="center"/>
    </xf>
    <xf numFmtId="177" fontId="20" fillId="6" borderId="0" xfId="3" applyNumberFormat="1" applyFont="1" applyFill="1" applyBorder="1" applyAlignment="1" applyProtection="1">
      <alignment horizontal="right" vertical="center"/>
    </xf>
    <xf numFmtId="177" fontId="20" fillId="6" borderId="43" xfId="3" applyNumberFormat="1" applyFont="1" applyFill="1" applyBorder="1" applyAlignment="1" applyProtection="1">
      <alignment horizontal="right" vertical="center"/>
    </xf>
    <xf numFmtId="0" fontId="34" fillId="8" borderId="91" xfId="2" applyFont="1" applyFill="1" applyBorder="1" applyAlignment="1" applyProtection="1">
      <alignment horizontal="left" vertical="center" wrapText="1" shrinkToFit="1"/>
    </xf>
    <xf numFmtId="0" fontId="34" fillId="8" borderId="80" xfId="2" applyFont="1" applyFill="1" applyBorder="1" applyAlignment="1" applyProtection="1">
      <alignment horizontal="left" vertical="center" wrapText="1" shrinkToFit="1"/>
    </xf>
    <xf numFmtId="0" fontId="34" fillId="8" borderId="92" xfId="2" applyFont="1" applyFill="1" applyBorder="1" applyAlignment="1" applyProtection="1">
      <alignment horizontal="left" vertical="center" wrapText="1" shrinkToFit="1"/>
    </xf>
    <xf numFmtId="0" fontId="25" fillId="8" borderId="96" xfId="2" applyFont="1" applyFill="1" applyBorder="1" applyAlignment="1" applyProtection="1">
      <alignment horizontal="left" vertical="center" wrapText="1" shrinkToFit="1"/>
    </xf>
    <xf numFmtId="0" fontId="25" fillId="8" borderId="97" xfId="2" applyFont="1" applyFill="1" applyBorder="1" applyAlignment="1" applyProtection="1">
      <alignment horizontal="left" vertical="center" wrapText="1" shrinkToFit="1"/>
    </xf>
    <xf numFmtId="0" fontId="25" fillId="8" borderId="98" xfId="2" applyFont="1" applyFill="1" applyBorder="1" applyAlignment="1" applyProtection="1">
      <alignment horizontal="left" vertical="center" wrapText="1" shrinkToFit="1"/>
    </xf>
    <xf numFmtId="0" fontId="19" fillId="8" borderId="65" xfId="2" applyFont="1" applyFill="1" applyBorder="1" applyAlignment="1" applyProtection="1">
      <alignment horizontal="left" vertical="center" shrinkToFit="1"/>
    </xf>
    <xf numFmtId="0" fontId="78" fillId="0" borderId="150" xfId="2" applyFont="1" applyBorder="1" applyAlignment="1" applyProtection="1">
      <alignment horizontal="center" vertical="center"/>
    </xf>
    <xf numFmtId="0" fontId="78" fillId="0" borderId="166" xfId="2" applyFont="1" applyBorder="1" applyAlignment="1" applyProtection="1">
      <alignment horizontal="center" vertical="center"/>
    </xf>
    <xf numFmtId="0" fontId="51" fillId="8" borderId="0" xfId="2" applyFont="1" applyFill="1" applyAlignment="1" applyProtection="1">
      <alignment horizontal="center" vertical="center"/>
    </xf>
    <xf numFmtId="0" fontId="20" fillId="8" borderId="0" xfId="2" applyFont="1" applyFill="1" applyAlignment="1" applyProtection="1">
      <alignment horizontal="center" vertical="center"/>
    </xf>
    <xf numFmtId="0" fontId="51" fillId="8" borderId="0" xfId="2" applyFont="1" applyFill="1" applyAlignment="1" applyProtection="1">
      <alignment vertical="center" shrinkToFit="1"/>
    </xf>
    <xf numFmtId="0" fontId="9" fillId="7" borderId="1" xfId="0" applyNumberFormat="1" applyFont="1" applyFill="1" applyBorder="1" applyAlignment="1" applyProtection="1">
      <alignment horizontal="center" vertical="center"/>
    </xf>
    <xf numFmtId="0" fontId="7" fillId="7" borderId="1" xfId="0" applyFont="1" applyFill="1" applyBorder="1" applyAlignment="1" applyProtection="1">
      <alignment horizontal="center" vertical="center" wrapText="1" shrinkToFit="1"/>
    </xf>
    <xf numFmtId="0" fontId="8" fillId="7" borderId="1" xfId="0" applyFont="1" applyFill="1" applyBorder="1" applyAlignment="1" applyProtection="1">
      <alignment horizontal="center" vertical="center" shrinkToFit="1"/>
    </xf>
    <xf numFmtId="0" fontId="9" fillId="7" borderId="1" xfId="0"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xf>
    <xf numFmtId="2" fontId="8" fillId="7" borderId="3" xfId="0" applyNumberFormat="1" applyFont="1" applyFill="1" applyBorder="1" applyAlignment="1" applyProtection="1">
      <alignment horizontal="center" vertical="center" wrapText="1"/>
    </xf>
    <xf numFmtId="2" fontId="8" fillId="7" borderId="4" xfId="0" applyNumberFormat="1"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xf>
    <xf numFmtId="38" fontId="9" fillId="7" borderId="3" xfId="1" applyFont="1" applyFill="1" applyBorder="1" applyAlignment="1" applyProtection="1">
      <alignment vertical="center" shrinkToFit="1"/>
    </xf>
    <xf numFmtId="38" fontId="9" fillId="7" borderId="4" xfId="1" applyFont="1" applyFill="1" applyBorder="1" applyAlignment="1" applyProtection="1">
      <alignment vertical="center" shrinkToFit="1"/>
    </xf>
    <xf numFmtId="0" fontId="83" fillId="4" borderId="52" xfId="0" applyFont="1" applyFill="1" applyBorder="1" applyAlignment="1" applyProtection="1">
      <alignment horizontal="center" vertical="center" shrinkToFit="1"/>
    </xf>
    <xf numFmtId="0" fontId="83" fillId="4" borderId="77" xfId="0" applyFont="1" applyFill="1" applyBorder="1" applyAlignment="1" applyProtection="1">
      <alignment horizontal="center" vertical="center" shrinkToFit="1"/>
    </xf>
    <xf numFmtId="0" fontId="83" fillId="4" borderId="53" xfId="0" applyFont="1" applyFill="1" applyBorder="1" applyAlignment="1" applyProtection="1">
      <alignment horizontal="center" vertical="center" shrinkToFit="1"/>
    </xf>
    <xf numFmtId="0" fontId="83" fillId="5" borderId="52" xfId="0" applyFont="1" applyFill="1" applyBorder="1" applyAlignment="1" applyProtection="1">
      <alignment horizontal="center" vertical="center" shrinkToFit="1"/>
    </xf>
    <xf numFmtId="0" fontId="83" fillId="5" borderId="77" xfId="0" applyFont="1" applyFill="1" applyBorder="1" applyAlignment="1" applyProtection="1">
      <alignment horizontal="center" vertical="center" shrinkToFit="1"/>
    </xf>
    <xf numFmtId="0" fontId="83" fillId="5" borderId="53" xfId="0" applyFont="1" applyFill="1" applyBorder="1" applyAlignment="1" applyProtection="1">
      <alignment horizontal="center" vertical="center" shrinkToFit="1"/>
    </xf>
    <xf numFmtId="0" fontId="83" fillId="6" borderId="58" xfId="0" applyFont="1" applyFill="1" applyBorder="1" applyAlignment="1" applyProtection="1">
      <alignment horizontal="center" vertical="center" shrinkToFit="1"/>
    </xf>
    <xf numFmtId="0" fontId="83" fillId="6" borderId="59" xfId="0" applyFont="1" applyFill="1" applyBorder="1" applyAlignment="1" applyProtection="1">
      <alignment horizontal="center" vertical="center" shrinkToFit="1"/>
    </xf>
    <xf numFmtId="0" fontId="83" fillId="6" borderId="60" xfId="0" applyFont="1" applyFill="1" applyBorder="1" applyAlignment="1" applyProtection="1">
      <alignment horizontal="center" vertical="center" shrinkToFit="1"/>
    </xf>
    <xf numFmtId="0" fontId="8" fillId="2" borderId="1" xfId="0" applyFont="1" applyFill="1" applyBorder="1" applyAlignment="1" applyProtection="1">
      <alignment horizontal="center" vertical="center"/>
    </xf>
    <xf numFmtId="0" fontId="7" fillId="2" borderId="173" xfId="0" applyFont="1" applyFill="1" applyBorder="1" applyAlignment="1" applyProtection="1">
      <alignment horizontal="right" vertical="center" wrapText="1"/>
    </xf>
    <xf numFmtId="0" fontId="7" fillId="2" borderId="4" xfId="0" applyFont="1" applyFill="1" applyBorder="1" applyAlignment="1" applyProtection="1">
      <alignment horizontal="right" vertical="center" wrapText="1"/>
    </xf>
    <xf numFmtId="0" fontId="62" fillId="7" borderId="2" xfId="0" applyFont="1" applyFill="1" applyBorder="1" applyAlignment="1" applyProtection="1">
      <alignment horizontal="left" vertical="top" wrapText="1"/>
    </xf>
    <xf numFmtId="0" fontId="62" fillId="7" borderId="3" xfId="0" applyFont="1" applyFill="1" applyBorder="1" applyAlignment="1" applyProtection="1">
      <alignment horizontal="left" vertical="top" wrapText="1"/>
    </xf>
    <xf numFmtId="0" fontId="62" fillId="7" borderId="4" xfId="0" applyFont="1" applyFill="1" applyBorder="1" applyAlignment="1" applyProtection="1">
      <alignment horizontal="left" vertical="top" wrapText="1"/>
    </xf>
    <xf numFmtId="0" fontId="74" fillId="0" borderId="139" xfId="0" applyFont="1" applyBorder="1" applyAlignment="1" applyProtection="1">
      <alignment horizontal="center" vertical="center" shrinkToFit="1"/>
    </xf>
    <xf numFmtId="0" fontId="90" fillId="0" borderId="58" xfId="0" applyFont="1" applyBorder="1" applyAlignment="1" applyProtection="1">
      <alignment horizontal="center" vertical="center" shrinkToFit="1"/>
    </xf>
    <xf numFmtId="0" fontId="90" fillId="0" borderId="59" xfId="0" applyFont="1" applyBorder="1" applyAlignment="1" applyProtection="1">
      <alignment horizontal="center" vertical="center" shrinkToFit="1"/>
    </xf>
    <xf numFmtId="0" fontId="90" fillId="0" borderId="60" xfId="0" applyFont="1" applyBorder="1" applyAlignment="1" applyProtection="1">
      <alignment horizontal="center" vertical="center" shrinkToFit="1"/>
    </xf>
  </cellXfs>
  <cellStyles count="6">
    <cellStyle name="パーセント 2" xfId="4" xr:uid="{8BD5914D-6A19-4C98-82B8-CEBE6790B8D9}"/>
    <cellStyle name="ハイパーリンク" xfId="5" builtinId="8"/>
    <cellStyle name="桁区切り" xfId="1" builtinId="6"/>
    <cellStyle name="桁区切り 2" xfId="3" xr:uid="{B7DAC9CA-2825-4E21-96B3-F9AE8E66766C}"/>
    <cellStyle name="標準" xfId="0" builtinId="0"/>
    <cellStyle name="標準 2" xfId="2" xr:uid="{1CDB1B3E-BF39-49D8-9C81-6763D0DEB1B1}"/>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28"/>
              <a:chExt cx="303832" cy="486923"/>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5"/>
              <a:chExt cx="301792" cy="780106"/>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8"/>
              <a:chExt cx="308371" cy="76286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19"/>
              <a:chExt cx="301792" cy="494768"/>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594" y="8168748"/>
              <a:chExt cx="21761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8" y="8166017"/>
              <a:chExt cx="208649" cy="749793"/>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4"/>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004D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014D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024D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28"/>
              <a:chExt cx="303832" cy="486923"/>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5"/>
              <a:chExt cx="301792" cy="780106"/>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8"/>
              <a:chExt cx="308371" cy="762863"/>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19"/>
              <a:chExt cx="301792" cy="494768"/>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594" y="8168748"/>
              <a:chExt cx="217610"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8" y="8166017"/>
              <a:chExt cx="208649" cy="749793"/>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4"/>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28"/>
              <a:chExt cx="303832" cy="486923"/>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55"/>
              <a:chExt cx="301792" cy="780106"/>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8"/>
              <a:chExt cx="308371" cy="762863"/>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19"/>
              <a:chExt cx="301792" cy="494768"/>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594" y="8168748"/>
              <a:chExt cx="217610" cy="79243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8" y="8166017"/>
              <a:chExt cx="208649" cy="749793"/>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4"/>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28"/>
              <a:chExt cx="303832" cy="486923"/>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28"/>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5"/>
              <a:chExt cx="301792" cy="780106"/>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5"/>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8"/>
              <a:chExt cx="308371" cy="762863"/>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8"/>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0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19"/>
              <a:chExt cx="301792" cy="494768"/>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19"/>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12"/>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594" y="8168748"/>
              <a:chExt cx="217610"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1" y="8168748"/>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94" y="8723053"/>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8" y="8166017"/>
              <a:chExt cx="208649" cy="749793"/>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8" y="8166017"/>
                <a:ext cx="207109" cy="240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8" y="8640695"/>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4"/>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3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67"/>
              <a:chExt cx="301792" cy="780087"/>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4"/>
              <a:chExt cx="308373" cy="759871"/>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68"/>
              <a:chExt cx="301792" cy="494759"/>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2"/>
              <a:chExt cx="308373" cy="779251"/>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598" y="8167936"/>
              <a:chExt cx="225534" cy="793288"/>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59" y="8163158"/>
              <a:chExt cx="208417" cy="748003"/>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8" y="7286484"/>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67"/>
              <a:chExt cx="301792" cy="780087"/>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24"/>
              <a:chExt cx="308373" cy="759871"/>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68"/>
              <a:chExt cx="301792" cy="494759"/>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2"/>
              <a:chExt cx="308373" cy="77925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598" y="8167936"/>
              <a:chExt cx="225534" cy="793288"/>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59" y="8163158"/>
              <a:chExt cx="208417" cy="748003"/>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78" y="7286484"/>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67"/>
              <a:chExt cx="301792" cy="780087"/>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24"/>
              <a:chExt cx="308373" cy="759871"/>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68"/>
              <a:chExt cx="301792" cy="494759"/>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2"/>
              <a:chExt cx="308373" cy="779251"/>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598" y="8167936"/>
              <a:chExt cx="225534" cy="793288"/>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59" y="8163158"/>
              <a:chExt cx="208417" cy="748003"/>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78" y="7286484"/>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67"/>
              <a:chExt cx="301792" cy="780087"/>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24"/>
              <a:chExt cx="308373" cy="759871"/>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68"/>
              <a:chExt cx="301792" cy="494759"/>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2"/>
              <a:chExt cx="308373" cy="779251"/>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598" y="8167936"/>
              <a:chExt cx="225534" cy="793288"/>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59" y="8163158"/>
              <a:chExt cx="208417" cy="748003"/>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78" y="7286484"/>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67"/>
              <a:chExt cx="301792" cy="780087"/>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24"/>
              <a:chExt cx="308373" cy="759871"/>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68"/>
              <a:chExt cx="301792" cy="494759"/>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2"/>
              <a:chExt cx="308373" cy="779251"/>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598" y="8167936"/>
              <a:chExt cx="225534" cy="793288"/>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59" y="8163158"/>
              <a:chExt cx="208417" cy="748003"/>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78" y="7286484"/>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67"/>
              <a:chExt cx="301792" cy="780087"/>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67"/>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28"/>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24"/>
              <a:chExt cx="308373" cy="759871"/>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4"/>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6"/>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68"/>
              <a:chExt cx="301792" cy="494759"/>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68"/>
                <a:ext cx="301792" cy="2410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63"/>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2"/>
              <a:chExt cx="308373" cy="779251"/>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2"/>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39"/>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598" y="8167936"/>
              <a:chExt cx="225534" cy="793288"/>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42" y="8167936"/>
                <a:ext cx="225490"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598" y="8722153"/>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59" y="8163158"/>
              <a:chExt cx="208417" cy="748003"/>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9" y="8163158"/>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9"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78" y="7286484"/>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8" y="7286484"/>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4" y="7750923"/>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codeName="Sheet1">
    <pageSetUpPr fitToPage="1"/>
  </sheetPr>
  <dimension ref="A1:CC250"/>
  <sheetViews>
    <sheetView tabSelected="1" view="pageBreakPreview" zoomScaleNormal="120" zoomScaleSheetLayoutView="100" zoomScalePageLayoutView="64" workbookViewId="0">
      <selection activeCell="H7" sqref="H7:AK7"/>
    </sheetView>
  </sheetViews>
  <sheetFormatPr defaultColWidth="9" defaultRowHeight="13.5"/>
  <cols>
    <col min="1" max="1" width="2.125" style="149" customWidth="1"/>
    <col min="2" max="2" width="3.125" style="149" customWidth="1"/>
    <col min="3" max="7" width="2.625" style="149" customWidth="1"/>
    <col min="8" max="27" width="2.5" style="149" customWidth="1"/>
    <col min="28" max="28" width="3.5" style="149" customWidth="1"/>
    <col min="29" max="36" width="2.5" style="149" customWidth="1"/>
    <col min="37" max="37" width="2.875" style="149" customWidth="1"/>
    <col min="38" max="38" width="2.5" style="149" customWidth="1"/>
    <col min="39" max="39" width="6.875" style="149" customWidth="1"/>
    <col min="40" max="43" width="5.375" style="149" customWidth="1"/>
    <col min="44" max="44" width="7.375" style="149" customWidth="1"/>
    <col min="45" max="52" width="5.375" style="149" customWidth="1"/>
    <col min="53" max="55" width="5.5" style="149" customWidth="1"/>
    <col min="56" max="56" width="5.875" style="149" customWidth="1"/>
    <col min="57" max="57" width="6" style="149" customWidth="1"/>
    <col min="58" max="58" width="5.625" style="149" customWidth="1"/>
    <col min="59" max="67" width="4.125" style="149" customWidth="1"/>
    <col min="68" max="69" width="9" style="149"/>
    <col min="70" max="70" width="9" style="149" customWidth="1"/>
    <col min="71" max="16384" width="9" style="149"/>
  </cols>
  <sheetData>
    <row r="1" spans="1:39" ht="18.75" customHeight="1">
      <c r="A1" s="147"/>
      <c r="B1" s="148" t="s">
        <v>2182</v>
      </c>
      <c r="C1" s="70"/>
      <c r="D1" s="70"/>
      <c r="E1" s="70"/>
      <c r="F1" s="70"/>
      <c r="G1" s="70"/>
      <c r="H1" s="70"/>
      <c r="I1" s="70"/>
      <c r="J1" s="70"/>
      <c r="K1" s="70"/>
      <c r="L1" s="70"/>
      <c r="M1" s="70"/>
      <c r="N1" s="70"/>
      <c r="O1" s="70"/>
      <c r="P1" s="70"/>
      <c r="Q1" s="70"/>
      <c r="R1" s="70"/>
      <c r="S1" s="70"/>
      <c r="T1" s="70"/>
      <c r="U1" s="70"/>
      <c r="V1" s="70"/>
      <c r="W1" s="70"/>
      <c r="X1" s="70"/>
      <c r="Y1" s="70"/>
      <c r="Z1" s="536" t="s">
        <v>25</v>
      </c>
      <c r="AA1" s="536"/>
      <c r="AB1" s="536"/>
      <c r="AC1" s="536"/>
      <c r="AD1" s="1180" t="s">
        <v>2334</v>
      </c>
      <c r="AE1" s="1180"/>
      <c r="AF1" s="1180"/>
      <c r="AG1" s="1180"/>
      <c r="AH1" s="1180"/>
      <c r="AI1" s="1180"/>
      <c r="AJ1" s="1180"/>
      <c r="AK1" s="1180"/>
      <c r="AL1" s="147"/>
    </row>
    <row r="2" spans="1:39" ht="10.5" customHeight="1">
      <c r="A2" s="147"/>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147"/>
    </row>
    <row r="3" spans="1:39" ht="24" customHeight="1">
      <c r="A3" s="147"/>
      <c r="B3" s="537" t="s">
        <v>2205</v>
      </c>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150"/>
      <c r="AM3" s="151"/>
    </row>
    <row r="4" spans="1:39" ht="9" customHeight="1">
      <c r="A4" s="147"/>
      <c r="B4" s="152"/>
      <c r="C4" s="153"/>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147"/>
    </row>
    <row r="5" spans="1:39" ht="19.5" customHeight="1">
      <c r="A5" s="147"/>
      <c r="B5" s="154" t="s">
        <v>2018</v>
      </c>
      <c r="C5" s="154"/>
      <c r="D5" s="154"/>
      <c r="E5" s="154"/>
      <c r="F5" s="154"/>
      <c r="G5" s="154"/>
      <c r="H5" s="154"/>
      <c r="I5" s="154"/>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47"/>
    </row>
    <row r="6" spans="1:39" s="157" customFormat="1" ht="13.5" customHeight="1">
      <c r="A6" s="156"/>
      <c r="B6" s="538" t="s">
        <v>21</v>
      </c>
      <c r="C6" s="539"/>
      <c r="D6" s="539"/>
      <c r="E6" s="539"/>
      <c r="F6" s="539"/>
      <c r="G6" s="540"/>
      <c r="H6" s="1181" t="s">
        <v>2335</v>
      </c>
      <c r="I6" s="1181"/>
      <c r="J6" s="1181"/>
      <c r="K6" s="1181"/>
      <c r="L6" s="1181"/>
      <c r="M6" s="1181"/>
      <c r="N6" s="1181"/>
      <c r="O6" s="1181"/>
      <c r="P6" s="1181"/>
      <c r="Q6" s="1181"/>
      <c r="R6" s="1181"/>
      <c r="S6" s="1181"/>
      <c r="T6" s="1181"/>
      <c r="U6" s="1181"/>
      <c r="V6" s="1181"/>
      <c r="W6" s="1181"/>
      <c r="X6" s="1181"/>
      <c r="Y6" s="1181"/>
      <c r="Z6" s="1181"/>
      <c r="AA6" s="1181"/>
      <c r="AB6" s="1181"/>
      <c r="AC6" s="1181"/>
      <c r="AD6" s="1181"/>
      <c r="AE6" s="1181"/>
      <c r="AF6" s="1181"/>
      <c r="AG6" s="1181"/>
      <c r="AH6" s="1181"/>
      <c r="AI6" s="1181"/>
      <c r="AJ6" s="1181"/>
      <c r="AK6" s="1182"/>
      <c r="AL6" s="156"/>
    </row>
    <row r="7" spans="1:39" s="157" customFormat="1" ht="25.5" customHeight="1">
      <c r="A7" s="156"/>
      <c r="B7" s="541" t="s">
        <v>20</v>
      </c>
      <c r="C7" s="542"/>
      <c r="D7" s="542"/>
      <c r="E7" s="542"/>
      <c r="F7" s="542"/>
      <c r="G7" s="543"/>
      <c r="H7" s="1183" t="s">
        <v>2335</v>
      </c>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3"/>
      <c r="AJ7" s="1183"/>
      <c r="AK7" s="1184"/>
      <c r="AL7" s="156"/>
    </row>
    <row r="8" spans="1:39" s="157" customFormat="1" ht="12.75" customHeight="1">
      <c r="A8" s="156"/>
      <c r="B8" s="560" t="s">
        <v>2019</v>
      </c>
      <c r="C8" s="561"/>
      <c r="D8" s="561"/>
      <c r="E8" s="561"/>
      <c r="F8" s="561"/>
      <c r="G8" s="562"/>
      <c r="H8" s="158" t="s">
        <v>2183</v>
      </c>
      <c r="I8" s="1185">
        <v>100</v>
      </c>
      <c r="J8" s="1185"/>
      <c r="K8" s="159" t="s">
        <v>2185</v>
      </c>
      <c r="L8" s="1185">
        <v>1234</v>
      </c>
      <c r="M8" s="1186"/>
      <c r="N8" s="160"/>
      <c r="O8" s="161"/>
      <c r="P8" s="161"/>
      <c r="Q8" s="161"/>
      <c r="R8" s="161"/>
      <c r="S8" s="161"/>
      <c r="T8" s="161"/>
      <c r="U8" s="161"/>
      <c r="V8" s="161"/>
      <c r="W8" s="161"/>
      <c r="X8" s="161"/>
      <c r="Y8" s="161"/>
      <c r="Z8" s="161"/>
      <c r="AA8" s="161"/>
      <c r="AB8" s="161"/>
      <c r="AC8" s="161"/>
      <c r="AD8" s="161"/>
      <c r="AE8" s="161"/>
      <c r="AF8" s="161"/>
      <c r="AG8" s="161"/>
      <c r="AH8" s="161"/>
      <c r="AI8" s="161"/>
      <c r="AJ8" s="161"/>
      <c r="AK8" s="162"/>
      <c r="AL8" s="156"/>
    </row>
    <row r="9" spans="1:39" s="157" customFormat="1" ht="16.5" customHeight="1">
      <c r="A9" s="156"/>
      <c r="B9" s="553"/>
      <c r="C9" s="554"/>
      <c r="D9" s="554"/>
      <c r="E9" s="554"/>
      <c r="F9" s="554"/>
      <c r="G9" s="555"/>
      <c r="H9" s="1187" t="s">
        <v>2336</v>
      </c>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c r="AJ9" s="1188"/>
      <c r="AK9" s="1189"/>
      <c r="AL9" s="156"/>
    </row>
    <row r="10" spans="1:39" s="157" customFormat="1" ht="16.5" customHeight="1">
      <c r="A10" s="156"/>
      <c r="B10" s="553"/>
      <c r="C10" s="554"/>
      <c r="D10" s="554"/>
      <c r="E10" s="554"/>
      <c r="F10" s="554"/>
      <c r="G10" s="555"/>
      <c r="H10" s="1190" t="s">
        <v>2337</v>
      </c>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J10" s="1191"/>
      <c r="AK10" s="1192"/>
      <c r="AL10" s="156"/>
    </row>
    <row r="11" spans="1:39" s="157" customFormat="1" ht="13.5" customHeight="1">
      <c r="A11" s="156"/>
      <c r="B11" s="563" t="s">
        <v>21</v>
      </c>
      <c r="C11" s="564"/>
      <c r="D11" s="564"/>
      <c r="E11" s="564"/>
      <c r="F11" s="564"/>
      <c r="G11" s="565"/>
      <c r="H11" s="1181" t="s">
        <v>2338</v>
      </c>
      <c r="I11" s="1181"/>
      <c r="J11" s="1181"/>
      <c r="K11" s="1181"/>
      <c r="L11" s="1181"/>
      <c r="M11" s="1181"/>
      <c r="N11" s="1181"/>
      <c r="O11" s="1181"/>
      <c r="P11" s="1181"/>
      <c r="Q11" s="1181"/>
      <c r="R11" s="1181"/>
      <c r="S11" s="1181"/>
      <c r="T11" s="1181"/>
      <c r="U11" s="1181"/>
      <c r="V11" s="1181"/>
      <c r="W11" s="1181"/>
      <c r="X11" s="1181"/>
      <c r="Y11" s="1181"/>
      <c r="Z11" s="1181"/>
      <c r="AA11" s="1181"/>
      <c r="AB11" s="1181"/>
      <c r="AC11" s="1181"/>
      <c r="AD11" s="1181"/>
      <c r="AE11" s="1181"/>
      <c r="AF11" s="1181"/>
      <c r="AG11" s="1181"/>
      <c r="AH11" s="1181"/>
      <c r="AI11" s="1181"/>
      <c r="AJ11" s="1181"/>
      <c r="AK11" s="1182"/>
      <c r="AL11" s="156"/>
    </row>
    <row r="12" spans="1:39" s="157" customFormat="1" ht="22.5" customHeight="1">
      <c r="A12" s="156"/>
      <c r="B12" s="553" t="s">
        <v>2020</v>
      </c>
      <c r="C12" s="554"/>
      <c r="D12" s="554"/>
      <c r="E12" s="554"/>
      <c r="F12" s="554"/>
      <c r="G12" s="555"/>
      <c r="H12" s="1191" t="s">
        <v>2339</v>
      </c>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J12" s="1191"/>
      <c r="AK12" s="1192"/>
      <c r="AL12" s="156"/>
    </row>
    <row r="13" spans="1:39" s="157" customFormat="1" ht="18.75" customHeight="1">
      <c r="A13" s="156"/>
      <c r="B13" s="556" t="s">
        <v>2021</v>
      </c>
      <c r="C13" s="556"/>
      <c r="D13" s="556"/>
      <c r="E13" s="556"/>
      <c r="F13" s="556"/>
      <c r="G13" s="556"/>
      <c r="H13" s="557" t="s">
        <v>24</v>
      </c>
      <c r="I13" s="556"/>
      <c r="J13" s="556"/>
      <c r="K13" s="556"/>
      <c r="L13" s="1193" t="s">
        <v>2340</v>
      </c>
      <c r="M13" s="1194"/>
      <c r="N13" s="1194"/>
      <c r="O13" s="1194"/>
      <c r="P13" s="1194"/>
      <c r="Q13" s="1194"/>
      <c r="R13" s="1194"/>
      <c r="S13" s="1194"/>
      <c r="T13" s="1194"/>
      <c r="U13" s="1195"/>
      <c r="V13" s="558" t="s">
        <v>2184</v>
      </c>
      <c r="W13" s="559"/>
      <c r="X13" s="559"/>
      <c r="Y13" s="557"/>
      <c r="Z13" s="1196" t="s">
        <v>2341</v>
      </c>
      <c r="AA13" s="1194"/>
      <c r="AB13" s="1194"/>
      <c r="AC13" s="1194"/>
      <c r="AD13" s="1194"/>
      <c r="AE13" s="1194"/>
      <c r="AF13" s="1194"/>
      <c r="AG13" s="1194"/>
      <c r="AH13" s="1194"/>
      <c r="AI13" s="1194"/>
      <c r="AJ13" s="1194"/>
      <c r="AK13" s="1195"/>
      <c r="AL13" s="156"/>
    </row>
    <row r="14" spans="1:39" ht="7.5" customHeight="1">
      <c r="A14" s="147"/>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147"/>
    </row>
    <row r="15" spans="1:39" ht="18" customHeight="1">
      <c r="A15" s="147"/>
      <c r="B15" s="163" t="s">
        <v>28</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47"/>
    </row>
    <row r="16" spans="1:39" ht="18.75" customHeight="1">
      <c r="A16" s="147"/>
      <c r="B16" s="165" t="s">
        <v>29</v>
      </c>
      <c r="C16" s="166"/>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147"/>
    </row>
    <row r="17" spans="1:55" ht="18.75" customHeight="1">
      <c r="B17" s="566" t="s">
        <v>30</v>
      </c>
      <c r="C17" s="567"/>
      <c r="D17" s="567"/>
      <c r="E17" s="567"/>
      <c r="F17" s="567"/>
      <c r="G17" s="567"/>
      <c r="H17" s="567"/>
      <c r="I17" s="567"/>
      <c r="J17" s="567"/>
      <c r="K17" s="567"/>
      <c r="L17" s="567"/>
      <c r="M17" s="567"/>
      <c r="N17" s="567"/>
      <c r="O17" s="567"/>
      <c r="P17" s="567"/>
      <c r="Q17" s="567"/>
      <c r="R17" s="567"/>
      <c r="S17" s="567"/>
      <c r="T17" s="567"/>
      <c r="U17" s="567"/>
      <c r="V17" s="567"/>
      <c r="W17" s="569"/>
      <c r="X17" s="70"/>
      <c r="Y17" s="70"/>
      <c r="Z17" s="70"/>
      <c r="AA17" s="70"/>
      <c r="AB17" s="70"/>
      <c r="AC17" s="70"/>
      <c r="AD17" s="70"/>
      <c r="AE17" s="70"/>
      <c r="AF17" s="70"/>
      <c r="AG17" s="70"/>
      <c r="AH17" s="70"/>
      <c r="AI17" s="70"/>
      <c r="AJ17" s="70"/>
      <c r="AK17" s="70"/>
      <c r="AL17" s="147"/>
    </row>
    <row r="18" spans="1:55" ht="26.25" customHeight="1">
      <c r="A18" s="147"/>
      <c r="B18" s="167" t="s">
        <v>32</v>
      </c>
      <c r="C18" s="904" t="s">
        <v>33</v>
      </c>
      <c r="D18" s="904"/>
      <c r="E18" s="904"/>
      <c r="F18" s="904"/>
      <c r="G18" s="904"/>
      <c r="H18" s="904"/>
      <c r="I18" s="904"/>
      <c r="J18" s="904"/>
      <c r="K18" s="904"/>
      <c r="L18" s="904"/>
      <c r="M18" s="904"/>
      <c r="N18" s="904"/>
      <c r="O18" s="904"/>
      <c r="P18" s="908"/>
      <c r="Q18" s="905">
        <f>SUM('別紙様式6-2 事業所個票１:事業所個票10'!V51,'別紙様式6-2 事業所個票１:事業所個票10'!AC51)</f>
        <v>8366100</v>
      </c>
      <c r="R18" s="906"/>
      <c r="S18" s="906"/>
      <c r="T18" s="906"/>
      <c r="U18" s="906"/>
      <c r="V18" s="907"/>
      <c r="W18" s="168" t="s">
        <v>2204</v>
      </c>
      <c r="X18" s="147"/>
      <c r="Y18" s="147"/>
      <c r="Z18" s="70"/>
      <c r="AA18" s="70"/>
      <c r="AB18" s="70"/>
      <c r="AC18" s="70"/>
      <c r="AD18" s="147"/>
      <c r="AE18" s="147"/>
      <c r="AF18" s="147"/>
      <c r="AG18" s="147"/>
      <c r="AH18" s="147"/>
      <c r="AI18" s="147"/>
      <c r="AJ18" s="147"/>
      <c r="AK18" s="147"/>
      <c r="AL18" s="147"/>
    </row>
    <row r="19" spans="1:55" ht="26.25" customHeight="1" thickBot="1">
      <c r="A19" s="147"/>
      <c r="B19" s="169"/>
      <c r="C19" s="170" t="s">
        <v>34</v>
      </c>
      <c r="D19" s="570" t="s">
        <v>35</v>
      </c>
      <c r="E19" s="570"/>
      <c r="F19" s="570"/>
      <c r="G19" s="570"/>
      <c r="H19" s="570"/>
      <c r="I19" s="570"/>
      <c r="J19" s="570"/>
      <c r="K19" s="570"/>
      <c r="L19" s="570"/>
      <c r="M19" s="570"/>
      <c r="N19" s="570"/>
      <c r="O19" s="570"/>
      <c r="P19" s="571"/>
      <c r="Q19" s="905">
        <f>SUM('別紙様式6-2 事業所個票１:事業所個票10'!BI51)</f>
        <v>3977100</v>
      </c>
      <c r="R19" s="906"/>
      <c r="S19" s="906"/>
      <c r="T19" s="906"/>
      <c r="U19" s="906"/>
      <c r="V19" s="907"/>
      <c r="W19" s="168" t="s">
        <v>31</v>
      </c>
      <c r="X19" s="147"/>
      <c r="Y19" s="147"/>
      <c r="Z19" s="70"/>
      <c r="AA19" s="70"/>
      <c r="AB19" s="147"/>
      <c r="AC19" s="147"/>
      <c r="AD19" s="147"/>
      <c r="AE19" s="147"/>
      <c r="AF19" s="147"/>
      <c r="AG19" s="147"/>
      <c r="AH19" s="147"/>
      <c r="AI19" s="147"/>
      <c r="AJ19" s="147"/>
      <c r="AK19" s="147"/>
      <c r="AL19" s="147"/>
    </row>
    <row r="20" spans="1:55" ht="30" customHeight="1" thickBot="1">
      <c r="A20" s="147"/>
      <c r="B20" s="171"/>
      <c r="C20" s="172"/>
      <c r="D20" s="173" t="s">
        <v>36</v>
      </c>
      <c r="E20" s="570" t="s">
        <v>37</v>
      </c>
      <c r="F20" s="570"/>
      <c r="G20" s="570"/>
      <c r="H20" s="570"/>
      <c r="I20" s="570"/>
      <c r="J20" s="570"/>
      <c r="K20" s="570"/>
      <c r="L20" s="570"/>
      <c r="M20" s="570"/>
      <c r="N20" s="570"/>
      <c r="O20" s="570"/>
      <c r="P20" s="909"/>
      <c r="Q20" s="1197">
        <v>1200000</v>
      </c>
      <c r="R20" s="1198"/>
      <c r="S20" s="1198"/>
      <c r="T20" s="1198"/>
      <c r="U20" s="1198"/>
      <c r="V20" s="1199"/>
      <c r="W20" s="174" t="s">
        <v>31</v>
      </c>
      <c r="X20" s="70" t="s">
        <v>38</v>
      </c>
      <c r="Y20" s="175" t="str">
        <f>IF(Q20&gt;Q19,"×","")</f>
        <v/>
      </c>
      <c r="Z20" s="147"/>
      <c r="AA20" s="147"/>
      <c r="AB20" s="147"/>
      <c r="AC20" s="147"/>
      <c r="AD20" s="147"/>
      <c r="AE20" s="147"/>
      <c r="AF20" s="147"/>
      <c r="AG20" s="147"/>
      <c r="AH20" s="147"/>
      <c r="AI20" s="147"/>
      <c r="AJ20" s="147"/>
      <c r="AK20" s="147"/>
      <c r="AL20" s="147"/>
      <c r="AM20" s="901" t="s">
        <v>2074</v>
      </c>
      <c r="AN20" s="902"/>
      <c r="AO20" s="902"/>
      <c r="AP20" s="902"/>
      <c r="AQ20" s="902"/>
      <c r="AR20" s="902"/>
      <c r="AS20" s="902"/>
      <c r="AT20" s="902"/>
      <c r="AU20" s="902"/>
      <c r="AV20" s="902"/>
      <c r="AW20" s="902"/>
      <c r="AX20" s="902"/>
      <c r="AY20" s="902"/>
      <c r="AZ20" s="902"/>
      <c r="BA20" s="902"/>
      <c r="BB20" s="902"/>
      <c r="BC20" s="903"/>
    </row>
    <row r="21" spans="1:55" ht="28.5" customHeight="1" thickBot="1">
      <c r="A21" s="147"/>
      <c r="B21" s="176" t="s">
        <v>39</v>
      </c>
      <c r="C21" s="570" t="s">
        <v>2075</v>
      </c>
      <c r="D21" s="904"/>
      <c r="E21" s="904"/>
      <c r="F21" s="904"/>
      <c r="G21" s="904"/>
      <c r="H21" s="904"/>
      <c r="I21" s="904"/>
      <c r="J21" s="904"/>
      <c r="K21" s="904"/>
      <c r="L21" s="904"/>
      <c r="M21" s="904"/>
      <c r="N21" s="904"/>
      <c r="O21" s="904"/>
      <c r="P21" s="904"/>
      <c r="Q21" s="905">
        <f>Q18-Q20</f>
        <v>7166100</v>
      </c>
      <c r="R21" s="906"/>
      <c r="S21" s="906"/>
      <c r="T21" s="906"/>
      <c r="U21" s="906"/>
      <c r="V21" s="907"/>
      <c r="W21" s="177" t="s">
        <v>31</v>
      </c>
      <c r="X21" s="70" t="s">
        <v>38</v>
      </c>
      <c r="Y21" s="574" t="str">
        <f>IFERROR(IF(Q22&gt;=Q21,"○","×"),"")</f>
        <v>○</v>
      </c>
      <c r="Z21" s="147"/>
      <c r="AA21" s="147"/>
      <c r="AB21" s="147"/>
      <c r="AC21" s="147"/>
      <c r="AD21" s="147"/>
      <c r="AE21" s="147"/>
      <c r="AF21" s="147"/>
      <c r="AG21" s="147"/>
      <c r="AH21" s="147"/>
      <c r="AI21" s="147"/>
      <c r="AJ21" s="147"/>
      <c r="AK21" s="147"/>
      <c r="AL21" s="147"/>
      <c r="AM21" s="582" t="s">
        <v>2147</v>
      </c>
      <c r="AN21" s="583"/>
      <c r="AO21" s="583"/>
      <c r="AP21" s="583"/>
      <c r="AQ21" s="583"/>
      <c r="AR21" s="583"/>
      <c r="AS21" s="583"/>
      <c r="AT21" s="583"/>
      <c r="AU21" s="583"/>
      <c r="AV21" s="583"/>
      <c r="AW21" s="583"/>
      <c r="AX21" s="583"/>
      <c r="AY21" s="583"/>
      <c r="AZ21" s="583"/>
      <c r="BA21" s="583"/>
      <c r="BB21" s="583"/>
      <c r="BC21" s="584"/>
    </row>
    <row r="22" spans="1:55" ht="30" customHeight="1" thickBot="1">
      <c r="A22" s="147"/>
      <c r="B22" s="176" t="s">
        <v>40</v>
      </c>
      <c r="C22" s="570" t="s">
        <v>41</v>
      </c>
      <c r="D22" s="570"/>
      <c r="E22" s="570"/>
      <c r="F22" s="570"/>
      <c r="G22" s="570"/>
      <c r="H22" s="570"/>
      <c r="I22" s="570"/>
      <c r="J22" s="570"/>
      <c r="K22" s="570"/>
      <c r="L22" s="570"/>
      <c r="M22" s="570"/>
      <c r="N22" s="570"/>
      <c r="O22" s="570"/>
      <c r="P22" s="570"/>
      <c r="Q22" s="1197">
        <v>8100000</v>
      </c>
      <c r="R22" s="1198"/>
      <c r="S22" s="1198"/>
      <c r="T22" s="1198"/>
      <c r="U22" s="1198"/>
      <c r="V22" s="1199"/>
      <c r="W22" s="178" t="s">
        <v>31</v>
      </c>
      <c r="X22" s="70" t="s">
        <v>38</v>
      </c>
      <c r="Y22" s="576"/>
      <c r="Z22" s="70"/>
      <c r="AA22" s="70"/>
      <c r="AB22" s="147"/>
      <c r="AC22" s="147"/>
      <c r="AD22" s="147"/>
      <c r="AE22" s="147"/>
      <c r="AF22" s="147"/>
      <c r="AG22" s="147"/>
      <c r="AH22" s="147"/>
      <c r="AI22" s="147"/>
      <c r="AJ22" s="147"/>
      <c r="AK22" s="147"/>
      <c r="AL22" s="147"/>
    </row>
    <row r="23" spans="1:55" ht="12.75" customHeight="1">
      <c r="A23" s="70"/>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147"/>
      <c r="AC23" s="147"/>
      <c r="AD23" s="147"/>
      <c r="AE23" s="147"/>
      <c r="AF23" s="147"/>
      <c r="AG23" s="147"/>
      <c r="AH23" s="147"/>
      <c r="AI23" s="147"/>
      <c r="AJ23" s="147"/>
      <c r="AK23" s="147"/>
      <c r="AL23" s="147"/>
    </row>
    <row r="24" spans="1:55" ht="17.25" customHeight="1" thickBot="1">
      <c r="A24" s="147"/>
      <c r="B24" s="566" t="s">
        <v>42</v>
      </c>
      <c r="C24" s="567"/>
      <c r="D24" s="567"/>
      <c r="E24" s="567"/>
      <c r="F24" s="567"/>
      <c r="G24" s="567"/>
      <c r="H24" s="567"/>
      <c r="I24" s="567"/>
      <c r="J24" s="567"/>
      <c r="K24" s="567"/>
      <c r="L24" s="567"/>
      <c r="M24" s="567"/>
      <c r="N24" s="567"/>
      <c r="O24" s="567"/>
      <c r="P24" s="567"/>
      <c r="Q24" s="568"/>
      <c r="R24" s="568"/>
      <c r="S24" s="568"/>
      <c r="T24" s="568"/>
      <c r="U24" s="568"/>
      <c r="V24" s="568"/>
      <c r="W24" s="569"/>
      <c r="X24" s="70"/>
      <c r="Y24" s="70"/>
      <c r="Z24" s="70"/>
      <c r="AA24" s="70"/>
      <c r="AB24" s="147"/>
      <c r="AC24" s="147"/>
      <c r="AD24" s="147"/>
      <c r="AE24" s="147"/>
      <c r="AF24" s="147"/>
      <c r="AG24" s="147"/>
      <c r="AH24" s="147"/>
      <c r="AI24" s="147"/>
      <c r="AJ24" s="147"/>
      <c r="AK24" s="147"/>
      <c r="AL24" s="147"/>
    </row>
    <row r="25" spans="1:55" ht="27" customHeight="1" thickBot="1">
      <c r="A25" s="147"/>
      <c r="B25" s="176" t="s">
        <v>43</v>
      </c>
      <c r="C25" s="570" t="s">
        <v>2076</v>
      </c>
      <c r="D25" s="570"/>
      <c r="E25" s="570"/>
      <c r="F25" s="570"/>
      <c r="G25" s="570"/>
      <c r="H25" s="570"/>
      <c r="I25" s="570"/>
      <c r="J25" s="570"/>
      <c r="K25" s="570"/>
      <c r="L25" s="570"/>
      <c r="M25" s="570"/>
      <c r="N25" s="570"/>
      <c r="O25" s="570"/>
      <c r="P25" s="571"/>
      <c r="Q25" s="572">
        <f>Q19-Q20</f>
        <v>2777100</v>
      </c>
      <c r="R25" s="573"/>
      <c r="S25" s="573"/>
      <c r="T25" s="573"/>
      <c r="U25" s="573"/>
      <c r="V25" s="573"/>
      <c r="W25" s="168" t="s">
        <v>31</v>
      </c>
      <c r="X25" s="70" t="s">
        <v>38</v>
      </c>
      <c r="Y25" s="547" t="str">
        <f>IFERROR(IF(Q25&lt;=0,"",IF(Q26&gt;=Q25,"○","△")),"")</f>
        <v>△</v>
      </c>
      <c r="Z25" s="70" t="s">
        <v>38</v>
      </c>
      <c r="AA25" s="574" t="str">
        <f>IFERROR(IF(Y25="△",IF(Q28&gt;=Q25,"○","△"),""),"")</f>
        <v>○</v>
      </c>
      <c r="AB25" s="147"/>
      <c r="AC25" s="147"/>
      <c r="AD25" s="147"/>
      <c r="AE25" s="147"/>
      <c r="AF25" s="147"/>
      <c r="AG25" s="147"/>
      <c r="AH25" s="147"/>
      <c r="AI25" s="147"/>
      <c r="AJ25" s="147"/>
      <c r="AK25" s="147"/>
      <c r="AL25" s="147"/>
    </row>
    <row r="26" spans="1:55" ht="37.5" customHeight="1" thickBot="1">
      <c r="A26" s="147"/>
      <c r="B26" s="176" t="s">
        <v>44</v>
      </c>
      <c r="C26" s="570" t="s">
        <v>2148</v>
      </c>
      <c r="D26" s="570"/>
      <c r="E26" s="570"/>
      <c r="F26" s="570"/>
      <c r="G26" s="570"/>
      <c r="H26" s="570"/>
      <c r="I26" s="570"/>
      <c r="J26" s="570"/>
      <c r="K26" s="570"/>
      <c r="L26" s="570"/>
      <c r="M26" s="570"/>
      <c r="N26" s="570"/>
      <c r="O26" s="570"/>
      <c r="P26" s="571"/>
      <c r="Q26" s="1197">
        <v>2300000</v>
      </c>
      <c r="R26" s="1198"/>
      <c r="S26" s="1198"/>
      <c r="T26" s="1198"/>
      <c r="U26" s="1198"/>
      <c r="V26" s="1199"/>
      <c r="W26" s="168" t="s">
        <v>31</v>
      </c>
      <c r="X26" s="70" t="s">
        <v>38</v>
      </c>
      <c r="Y26" s="548"/>
      <c r="Z26" s="70"/>
      <c r="AA26" s="575"/>
      <c r="AB26" s="147"/>
      <c r="AC26" s="147"/>
      <c r="AD26" s="147"/>
      <c r="AE26" s="147"/>
      <c r="AF26" s="147"/>
      <c r="AG26" s="147"/>
      <c r="AH26" s="147"/>
      <c r="AI26" s="147"/>
      <c r="AJ26" s="147"/>
      <c r="AK26" s="147"/>
      <c r="AL26" s="147"/>
    </row>
    <row r="27" spans="1:55" ht="26.25" customHeight="1" thickBot="1">
      <c r="A27" s="147"/>
      <c r="B27" s="176" t="s">
        <v>45</v>
      </c>
      <c r="C27" s="570" t="s">
        <v>2077</v>
      </c>
      <c r="D27" s="570"/>
      <c r="E27" s="570"/>
      <c r="F27" s="570"/>
      <c r="G27" s="570"/>
      <c r="H27" s="570"/>
      <c r="I27" s="570"/>
      <c r="J27" s="570"/>
      <c r="K27" s="570"/>
      <c r="L27" s="570"/>
      <c r="M27" s="570"/>
      <c r="N27" s="570"/>
      <c r="O27" s="570"/>
      <c r="P27" s="571"/>
      <c r="Q27" s="1197">
        <v>600000</v>
      </c>
      <c r="R27" s="1198"/>
      <c r="S27" s="1198"/>
      <c r="T27" s="1198"/>
      <c r="U27" s="1198"/>
      <c r="V27" s="1199"/>
      <c r="W27" s="168" t="s">
        <v>31</v>
      </c>
      <c r="X27" s="70"/>
      <c r="Y27" s="70"/>
      <c r="Z27" s="70"/>
      <c r="AA27" s="575"/>
      <c r="AB27" s="147"/>
      <c r="AC27" s="147"/>
      <c r="AD27" s="147"/>
      <c r="AE27" s="147"/>
      <c r="AF27" s="147"/>
      <c r="AG27" s="147"/>
      <c r="AH27" s="147"/>
      <c r="AI27" s="147"/>
      <c r="AJ27" s="147"/>
      <c r="AK27" s="147"/>
      <c r="AL27" s="147"/>
      <c r="AM27" s="586" t="s">
        <v>2149</v>
      </c>
      <c r="AN27" s="587"/>
      <c r="AO27" s="587"/>
      <c r="AP27" s="587"/>
      <c r="AQ27" s="587"/>
      <c r="AR27" s="587"/>
      <c r="AS27" s="587"/>
      <c r="AT27" s="587"/>
      <c r="AU27" s="587"/>
      <c r="AV27" s="587"/>
      <c r="AW27" s="587"/>
      <c r="AX27" s="587"/>
      <c r="AY27" s="587"/>
      <c r="AZ27" s="587"/>
      <c r="BA27" s="587"/>
      <c r="BB27" s="587"/>
      <c r="BC27" s="588"/>
    </row>
    <row r="28" spans="1:55" ht="16.5" customHeight="1" thickBot="1">
      <c r="A28" s="147"/>
      <c r="B28" s="176" t="s">
        <v>46</v>
      </c>
      <c r="C28" s="570" t="s">
        <v>2078</v>
      </c>
      <c r="D28" s="570"/>
      <c r="E28" s="570"/>
      <c r="F28" s="570"/>
      <c r="G28" s="570"/>
      <c r="H28" s="570"/>
      <c r="I28" s="570"/>
      <c r="J28" s="570"/>
      <c r="K28" s="570"/>
      <c r="L28" s="570"/>
      <c r="M28" s="570"/>
      <c r="N28" s="570"/>
      <c r="O28" s="570"/>
      <c r="P28" s="571"/>
      <c r="Q28" s="592">
        <f>Q26+Q27</f>
        <v>2900000</v>
      </c>
      <c r="R28" s="593"/>
      <c r="S28" s="593"/>
      <c r="T28" s="593"/>
      <c r="U28" s="593"/>
      <c r="V28" s="594"/>
      <c r="W28" s="168" t="s">
        <v>31</v>
      </c>
      <c r="X28" s="147"/>
      <c r="Y28" s="147"/>
      <c r="Z28" s="147" t="s">
        <v>38</v>
      </c>
      <c r="AA28" s="576"/>
      <c r="AB28" s="147"/>
      <c r="AC28" s="147"/>
      <c r="AD28" s="147"/>
      <c r="AE28" s="147"/>
      <c r="AF28" s="147"/>
      <c r="AG28" s="147"/>
      <c r="AH28" s="147"/>
      <c r="AI28" s="147"/>
      <c r="AJ28" s="147"/>
      <c r="AK28" s="147"/>
      <c r="AL28" s="147"/>
      <c r="AM28" s="589"/>
      <c r="AN28" s="590"/>
      <c r="AO28" s="590"/>
      <c r="AP28" s="590"/>
      <c r="AQ28" s="590"/>
      <c r="AR28" s="590"/>
      <c r="AS28" s="590"/>
      <c r="AT28" s="590"/>
      <c r="AU28" s="590"/>
      <c r="AV28" s="590"/>
      <c r="AW28" s="590"/>
      <c r="AX28" s="590"/>
      <c r="AY28" s="590"/>
      <c r="AZ28" s="590"/>
      <c r="BA28" s="590"/>
      <c r="BB28" s="590"/>
      <c r="BC28" s="591"/>
    </row>
    <row r="29" spans="1:55" ht="3.75" customHeight="1">
      <c r="A29" s="70"/>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U29" s="179"/>
      <c r="AV29" s="180"/>
      <c r="AW29" s="180"/>
      <c r="AX29" s="180"/>
      <c r="AY29" s="180"/>
      <c r="AZ29" s="180"/>
    </row>
    <row r="30" spans="1:55" ht="16.5" customHeight="1">
      <c r="A30" s="181"/>
      <c r="B30" s="182" t="s">
        <v>26</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row>
    <row r="31" spans="1:55" ht="37.5" customHeight="1">
      <c r="A31" s="147"/>
      <c r="B31" s="183" t="s">
        <v>27</v>
      </c>
      <c r="C31" s="577" t="s">
        <v>2195</v>
      </c>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7"/>
      <c r="AL31" s="147"/>
    </row>
    <row r="32" spans="1:55" ht="48" customHeight="1">
      <c r="A32" s="147"/>
      <c r="B32" s="183" t="s">
        <v>27</v>
      </c>
      <c r="C32" s="577" t="s">
        <v>2206</v>
      </c>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147"/>
    </row>
    <row r="33" spans="1:55" ht="24.75" customHeight="1">
      <c r="A33" s="147"/>
      <c r="B33" s="183" t="s">
        <v>27</v>
      </c>
      <c r="C33" s="577" t="s">
        <v>2207</v>
      </c>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7"/>
      <c r="AL33" s="147"/>
    </row>
    <row r="34" spans="1:55" ht="35.25" customHeight="1">
      <c r="A34" s="147"/>
      <c r="B34" s="183" t="s">
        <v>27</v>
      </c>
      <c r="C34" s="577" t="s">
        <v>2208</v>
      </c>
      <c r="D34" s="577"/>
      <c r="E34" s="577"/>
      <c r="F34" s="577"/>
      <c r="G34" s="577"/>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147"/>
    </row>
    <row r="35" spans="1:55" ht="6.75" customHeight="1">
      <c r="A35" s="147"/>
      <c r="B35" s="184"/>
      <c r="C35" s="182"/>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row>
    <row r="36" spans="1:55" ht="18" customHeight="1" thickBot="1">
      <c r="A36" s="147"/>
      <c r="B36" s="165" t="s">
        <v>2009</v>
      </c>
      <c r="C36" s="166"/>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147"/>
      <c r="AM36" s="521" t="b">
        <v>1</v>
      </c>
      <c r="BA36" s="185"/>
    </row>
    <row r="37" spans="1:55" ht="18.75" customHeight="1" thickBot="1">
      <c r="A37" s="147"/>
      <c r="B37" s="578" t="b">
        <v>1</v>
      </c>
      <c r="C37" s="579"/>
      <c r="D37" s="580" t="s">
        <v>47</v>
      </c>
      <c r="E37" s="581"/>
      <c r="F37" s="581"/>
      <c r="G37" s="581"/>
      <c r="H37" s="581"/>
      <c r="I37" s="581"/>
      <c r="J37" s="581"/>
      <c r="K37" s="581"/>
      <c r="L37" s="581"/>
      <c r="M37" s="581"/>
      <c r="N37" s="581"/>
      <c r="O37" s="581"/>
      <c r="P37" s="581"/>
      <c r="Q37" s="581"/>
      <c r="R37" s="581"/>
      <c r="S37" s="581"/>
      <c r="T37" s="581"/>
      <c r="U37" s="581"/>
      <c r="V37" s="581"/>
      <c r="W37" s="581"/>
      <c r="X37" s="581"/>
      <c r="Y37" s="581"/>
      <c r="Z37" s="581"/>
      <c r="AA37" s="70" t="s">
        <v>38</v>
      </c>
      <c r="AB37" s="175" t="str">
        <f>IFERROR(IF(AM36=TRUE,"○","×"),"")</f>
        <v>○</v>
      </c>
      <c r="AC37" s="70"/>
      <c r="AD37" s="70"/>
      <c r="AE37" s="70"/>
      <c r="AF37" s="70"/>
      <c r="AG37" s="70"/>
      <c r="AH37" s="70"/>
      <c r="AI37" s="70"/>
      <c r="AJ37" s="70"/>
      <c r="AK37" s="70"/>
      <c r="AL37" s="147"/>
      <c r="AM37" s="582" t="s">
        <v>48</v>
      </c>
      <c r="AN37" s="583"/>
      <c r="AO37" s="583"/>
      <c r="AP37" s="583"/>
      <c r="AQ37" s="583"/>
      <c r="AR37" s="583"/>
      <c r="AS37" s="583"/>
      <c r="AT37" s="583"/>
      <c r="AU37" s="583"/>
      <c r="AV37" s="583"/>
      <c r="AW37" s="583"/>
      <c r="AX37" s="583"/>
      <c r="AY37" s="583"/>
      <c r="AZ37" s="583"/>
      <c r="BA37" s="583"/>
      <c r="BB37" s="583"/>
      <c r="BC37" s="584"/>
    </row>
    <row r="38" spans="1:55" ht="3.75" customHeight="1">
      <c r="A38" s="147"/>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147"/>
      <c r="AM38" s="520"/>
      <c r="AN38" s="520"/>
      <c r="AO38" s="520"/>
      <c r="AP38" s="520"/>
      <c r="AQ38" s="520"/>
      <c r="AR38" s="520"/>
      <c r="AS38" s="520"/>
      <c r="AT38" s="520"/>
      <c r="AU38" s="520"/>
      <c r="AV38" s="520"/>
      <c r="AW38" s="520"/>
      <c r="AX38" s="520"/>
      <c r="AY38" s="520"/>
      <c r="AZ38" s="520"/>
      <c r="BA38" s="520"/>
      <c r="BB38" s="520"/>
      <c r="BC38" s="520"/>
    </row>
    <row r="39" spans="1:55" ht="11.25" customHeight="1">
      <c r="A39" s="147"/>
      <c r="B39" s="182" t="s">
        <v>26</v>
      </c>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147"/>
      <c r="AM39" s="520"/>
      <c r="AN39" s="520"/>
      <c r="AO39" s="520"/>
      <c r="AP39" s="520"/>
      <c r="AQ39" s="520"/>
      <c r="AR39" s="520"/>
      <c r="AS39" s="520"/>
      <c r="AT39" s="520"/>
      <c r="AU39" s="520"/>
      <c r="AV39" s="520"/>
      <c r="AW39" s="520"/>
      <c r="AX39" s="520"/>
      <c r="AY39" s="520"/>
      <c r="AZ39" s="520"/>
      <c r="BA39" s="520"/>
      <c r="BB39" s="520"/>
      <c r="BC39" s="520"/>
    </row>
    <row r="40" spans="1:55" ht="45.75" customHeight="1">
      <c r="A40" s="147"/>
      <c r="B40" s="183" t="s">
        <v>27</v>
      </c>
      <c r="C40" s="585" t="s">
        <v>2079</v>
      </c>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5"/>
      <c r="AL40" s="147"/>
    </row>
    <row r="41" spans="1:55" ht="24.75" customHeight="1" thickBot="1">
      <c r="A41" s="147"/>
      <c r="B41" s="183" t="s">
        <v>27</v>
      </c>
      <c r="C41" s="585" t="s">
        <v>49</v>
      </c>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147"/>
    </row>
    <row r="42" spans="1:55" ht="22.5" customHeight="1" thickBot="1">
      <c r="A42" s="147"/>
      <c r="B42" s="186" t="s">
        <v>50</v>
      </c>
      <c r="C42" s="181"/>
      <c r="D42" s="181"/>
      <c r="E42" s="181"/>
      <c r="F42" s="181"/>
      <c r="G42" s="181"/>
      <c r="H42" s="181"/>
      <c r="I42" s="181"/>
      <c r="J42" s="181"/>
      <c r="K42" s="181"/>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175" t="str">
        <f>IFERROR(IF(AND(AND(Q43&lt;&gt;"",T43&lt;&gt;"",AA43&lt;&gt;"",AD43&lt;&gt;""),OR(AM50=TRUE,AM51=TRUE,AM52=TRUE,AM53=TRUE,AND(AM54=TRUE,AE44&lt;&gt;"")),OR(AR49=TRUE,AR50=TRUE,AND(AR51=TRUE,Y46&lt;&gt;"")),AND(F48&lt;&gt;"",P54&lt;&gt;"",S54&lt;&gt;""),OR(AR52=TRUE,AR53=TRUE),OR(AR54=TRUE,N55&lt;&gt;"")),"○","×"),"")</f>
        <v>○</v>
      </c>
      <c r="AL42" s="147"/>
      <c r="AM42" s="606" t="s">
        <v>2150</v>
      </c>
      <c r="AN42" s="583"/>
      <c r="AO42" s="583"/>
      <c r="AP42" s="583"/>
      <c r="AQ42" s="583"/>
      <c r="AR42" s="583"/>
      <c r="AS42" s="583"/>
      <c r="AT42" s="583"/>
      <c r="AU42" s="583"/>
      <c r="AV42" s="583"/>
      <c r="AW42" s="583"/>
      <c r="AX42" s="583"/>
      <c r="AY42" s="583"/>
      <c r="AZ42" s="583"/>
      <c r="BA42" s="583"/>
      <c r="BB42" s="583"/>
      <c r="BC42" s="584"/>
    </row>
    <row r="43" spans="1:55" ht="21.75" customHeight="1" thickBot="1">
      <c r="A43" s="147"/>
      <c r="B43" s="549" t="s">
        <v>51</v>
      </c>
      <c r="C43" s="550"/>
      <c r="D43" s="550"/>
      <c r="E43" s="550"/>
      <c r="F43" s="550"/>
      <c r="G43" s="550"/>
      <c r="H43" s="550"/>
      <c r="I43" s="550"/>
      <c r="J43" s="550"/>
      <c r="K43" s="550"/>
      <c r="L43" s="550"/>
      <c r="M43" s="550"/>
      <c r="N43" s="607"/>
      <c r="O43" s="608" t="s">
        <v>52</v>
      </c>
      <c r="P43" s="609"/>
      <c r="Q43" s="1200">
        <v>6</v>
      </c>
      <c r="R43" s="1200"/>
      <c r="S43" s="187" t="s">
        <v>53</v>
      </c>
      <c r="T43" s="1201">
        <v>6</v>
      </c>
      <c r="U43" s="1202"/>
      <c r="V43" s="188" t="s">
        <v>54</v>
      </c>
      <c r="W43" s="610" t="s">
        <v>55</v>
      </c>
      <c r="X43" s="610"/>
      <c r="Y43" s="610" t="s">
        <v>52</v>
      </c>
      <c r="Z43" s="611"/>
      <c r="AA43" s="1201">
        <v>7</v>
      </c>
      <c r="AB43" s="1202"/>
      <c r="AC43" s="189" t="s">
        <v>53</v>
      </c>
      <c r="AD43" s="1201">
        <v>5</v>
      </c>
      <c r="AE43" s="1202"/>
      <c r="AF43" s="188" t="s">
        <v>54</v>
      </c>
      <c r="AG43" s="188" t="s">
        <v>56</v>
      </c>
      <c r="AH43" s="188">
        <f>IF(Q43&gt;=1,(AA43*12+AD43)-(Q43*12+T43)+1,"")</f>
        <v>12</v>
      </c>
      <c r="AI43" s="610" t="s">
        <v>57</v>
      </c>
      <c r="AJ43" s="610"/>
      <c r="AK43" s="190" t="s">
        <v>58</v>
      </c>
      <c r="AL43" s="147"/>
      <c r="AM43" s="180"/>
      <c r="BB43" s="185"/>
    </row>
    <row r="44" spans="1:55" s="157" customFormat="1" ht="25.5" customHeight="1" thickBot="1">
      <c r="A44" s="156"/>
      <c r="B44" s="595" t="s">
        <v>59</v>
      </c>
      <c r="C44" s="596"/>
      <c r="D44" s="596"/>
      <c r="E44" s="596"/>
      <c r="F44" s="191" t="b">
        <v>1</v>
      </c>
      <c r="G44" s="597" t="s">
        <v>60</v>
      </c>
      <c r="H44" s="598"/>
      <c r="I44" s="599"/>
      <c r="J44" s="192" t="b">
        <v>0</v>
      </c>
      <c r="K44" s="597" t="s">
        <v>61</v>
      </c>
      <c r="L44" s="598"/>
      <c r="M44" s="598"/>
      <c r="N44" s="598"/>
      <c r="O44" s="600"/>
      <c r="P44" s="193" t="b">
        <v>0</v>
      </c>
      <c r="Q44" s="601" t="s">
        <v>62</v>
      </c>
      <c r="R44" s="602"/>
      <c r="S44" s="602"/>
      <c r="T44" s="602"/>
      <c r="U44" s="602"/>
      <c r="V44" s="603"/>
      <c r="W44" s="193"/>
      <c r="X44" s="601" t="s">
        <v>63</v>
      </c>
      <c r="Y44" s="602"/>
      <c r="Z44" s="603"/>
      <c r="AA44" s="193" t="b">
        <v>1</v>
      </c>
      <c r="AB44" s="604" t="s">
        <v>64</v>
      </c>
      <c r="AC44" s="605"/>
      <c r="AD44" s="194" t="s">
        <v>6</v>
      </c>
      <c r="AE44" s="1203"/>
      <c r="AF44" s="1203"/>
      <c r="AG44" s="1203"/>
      <c r="AH44" s="1203"/>
      <c r="AI44" s="1203"/>
      <c r="AJ44" s="613" t="s">
        <v>65</v>
      </c>
      <c r="AK44" s="614"/>
      <c r="AL44" s="156"/>
      <c r="AM44" s="606" t="s">
        <v>2010</v>
      </c>
      <c r="AN44" s="583"/>
      <c r="AO44" s="583"/>
      <c r="AP44" s="583"/>
      <c r="AQ44" s="583"/>
      <c r="AR44" s="583"/>
      <c r="AS44" s="583"/>
      <c r="AT44" s="583"/>
      <c r="AU44" s="583"/>
      <c r="AV44" s="583"/>
      <c r="AW44" s="583"/>
      <c r="AX44" s="583"/>
      <c r="AY44" s="583"/>
      <c r="AZ44" s="583"/>
      <c r="BA44" s="583"/>
      <c r="BB44" s="583"/>
      <c r="BC44" s="584"/>
    </row>
    <row r="45" spans="1:55" s="157" customFormat="1" ht="18.75" customHeight="1" thickBot="1">
      <c r="A45" s="156"/>
      <c r="B45" s="646" t="s">
        <v>66</v>
      </c>
      <c r="C45" s="647"/>
      <c r="D45" s="647"/>
      <c r="E45" s="647"/>
      <c r="F45" s="195" t="s">
        <v>67</v>
      </c>
      <c r="G45" s="196"/>
      <c r="H45" s="197"/>
      <c r="I45" s="197"/>
      <c r="J45" s="166"/>
      <c r="K45" s="197"/>
      <c r="L45" s="197"/>
      <c r="M45" s="197"/>
      <c r="N45" s="197"/>
      <c r="O45" s="197"/>
      <c r="P45" s="198"/>
      <c r="Q45" s="197"/>
      <c r="R45" s="197"/>
      <c r="S45" s="197"/>
      <c r="T45" s="197"/>
      <c r="U45" s="197"/>
      <c r="V45" s="197"/>
      <c r="W45" s="198"/>
      <c r="X45" s="197"/>
      <c r="Y45" s="197"/>
      <c r="Z45" s="166"/>
      <c r="AA45" s="166"/>
      <c r="AB45" s="197"/>
      <c r="AC45" s="197"/>
      <c r="AD45" s="197"/>
      <c r="AE45" s="197"/>
      <c r="AF45" s="197"/>
      <c r="AG45" s="197"/>
      <c r="AH45" s="197"/>
      <c r="AI45" s="197"/>
      <c r="AJ45" s="197"/>
      <c r="AK45" s="199"/>
      <c r="AL45" s="156"/>
    </row>
    <row r="46" spans="1:55" s="157" customFormat="1" ht="15" customHeight="1">
      <c r="A46" s="156"/>
      <c r="B46" s="648"/>
      <c r="C46" s="649"/>
      <c r="D46" s="649"/>
      <c r="E46" s="649"/>
      <c r="F46" s="200" t="b">
        <v>1</v>
      </c>
      <c r="G46" s="201" t="s">
        <v>2080</v>
      </c>
      <c r="H46" s="166"/>
      <c r="I46" s="166"/>
      <c r="J46" s="166"/>
      <c r="K46" s="166"/>
      <c r="L46" s="166"/>
      <c r="M46" s="202" t="b">
        <v>1</v>
      </c>
      <c r="N46" s="201" t="s">
        <v>2081</v>
      </c>
      <c r="O46" s="166"/>
      <c r="P46" s="166"/>
      <c r="Q46" s="198"/>
      <c r="R46" s="198"/>
      <c r="S46" s="201"/>
      <c r="T46" s="202" t="b">
        <v>1</v>
      </c>
      <c r="U46" s="201" t="s">
        <v>64</v>
      </c>
      <c r="V46" s="198"/>
      <c r="W46" s="166"/>
      <c r="X46" s="201" t="s">
        <v>68</v>
      </c>
      <c r="Y46" s="1204"/>
      <c r="Z46" s="1204"/>
      <c r="AA46" s="1204"/>
      <c r="AB46" s="1204"/>
      <c r="AC46" s="1204"/>
      <c r="AD46" s="1204"/>
      <c r="AE46" s="1204"/>
      <c r="AF46" s="1204"/>
      <c r="AG46" s="1204"/>
      <c r="AH46" s="1204"/>
      <c r="AI46" s="1204"/>
      <c r="AJ46" s="1204"/>
      <c r="AK46" s="203" t="s">
        <v>69</v>
      </c>
      <c r="AL46" s="156"/>
      <c r="AM46" s="586" t="s">
        <v>2010</v>
      </c>
      <c r="AN46" s="615"/>
      <c r="AO46" s="615"/>
      <c r="AP46" s="615"/>
      <c r="AQ46" s="615"/>
      <c r="AR46" s="615"/>
      <c r="AS46" s="615"/>
      <c r="AT46" s="615"/>
      <c r="AU46" s="615"/>
      <c r="AV46" s="615"/>
      <c r="AW46" s="615"/>
      <c r="AX46" s="615"/>
      <c r="AY46" s="615"/>
      <c r="AZ46" s="615"/>
      <c r="BA46" s="615"/>
      <c r="BB46" s="615"/>
      <c r="BC46" s="616"/>
    </row>
    <row r="47" spans="1:55" s="157" customFormat="1" ht="19.5" customHeight="1" thickBot="1">
      <c r="A47" s="156"/>
      <c r="B47" s="648"/>
      <c r="C47" s="649"/>
      <c r="D47" s="649"/>
      <c r="E47" s="649"/>
      <c r="F47" s="204" t="s">
        <v>70</v>
      </c>
      <c r="G47" s="201"/>
      <c r="H47" s="166"/>
      <c r="I47" s="166"/>
      <c r="J47" s="166"/>
      <c r="K47" s="166"/>
      <c r="L47" s="166"/>
      <c r="M47" s="166"/>
      <c r="N47" s="166"/>
      <c r="O47" s="198"/>
      <c r="P47" s="198"/>
      <c r="Q47" s="201"/>
      <c r="R47" s="201"/>
      <c r="S47" s="201"/>
      <c r="T47" s="205"/>
      <c r="U47" s="205"/>
      <c r="V47" s="205"/>
      <c r="W47" s="205"/>
      <c r="X47" s="205"/>
      <c r="Z47" s="205"/>
      <c r="AA47" s="205"/>
      <c r="AB47" s="205"/>
      <c r="AC47" s="205"/>
      <c r="AD47" s="205"/>
      <c r="AE47" s="205"/>
      <c r="AF47" s="205"/>
      <c r="AG47" s="205"/>
      <c r="AH47" s="205"/>
      <c r="AI47" s="205"/>
      <c r="AJ47" s="205"/>
      <c r="AK47" s="203"/>
      <c r="AL47" s="156"/>
      <c r="AM47" s="617"/>
      <c r="AN47" s="618"/>
      <c r="AO47" s="618"/>
      <c r="AP47" s="618"/>
      <c r="AQ47" s="618"/>
      <c r="AR47" s="618"/>
      <c r="AS47" s="618"/>
      <c r="AT47" s="618"/>
      <c r="AU47" s="618"/>
      <c r="AV47" s="618"/>
      <c r="AW47" s="618"/>
      <c r="AX47" s="618"/>
      <c r="AY47" s="618"/>
      <c r="AZ47" s="618"/>
      <c r="BA47" s="618"/>
      <c r="BB47" s="618"/>
      <c r="BC47" s="619"/>
    </row>
    <row r="48" spans="1:55" s="157" customFormat="1" ht="20.25" customHeight="1">
      <c r="A48" s="156"/>
      <c r="B48" s="648"/>
      <c r="C48" s="649"/>
      <c r="D48" s="649"/>
      <c r="E48" s="649"/>
      <c r="F48" s="1205" t="s">
        <v>2342</v>
      </c>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7"/>
      <c r="AL48" s="156"/>
    </row>
    <row r="49" spans="1:59" s="157" customFormat="1" ht="18" customHeight="1">
      <c r="A49" s="156"/>
      <c r="B49" s="648"/>
      <c r="C49" s="649"/>
      <c r="D49" s="649"/>
      <c r="E49" s="649"/>
      <c r="F49" s="1208"/>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10"/>
      <c r="AL49" s="156"/>
      <c r="AM49" s="206" t="s">
        <v>2082</v>
      </c>
      <c r="AR49" s="521" t="b">
        <v>0</v>
      </c>
      <c r="AS49" s="612" t="s">
        <v>2080</v>
      </c>
      <c r="AT49" s="612"/>
    </row>
    <row r="50" spans="1:59" s="157" customFormat="1" ht="18" customHeight="1">
      <c r="A50" s="156"/>
      <c r="B50" s="648"/>
      <c r="C50" s="649"/>
      <c r="D50" s="649"/>
      <c r="E50" s="649"/>
      <c r="F50" s="1208"/>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1209"/>
      <c r="AC50" s="1209"/>
      <c r="AD50" s="1209"/>
      <c r="AE50" s="1209"/>
      <c r="AF50" s="1209"/>
      <c r="AG50" s="1209"/>
      <c r="AH50" s="1209"/>
      <c r="AI50" s="1209"/>
      <c r="AJ50" s="1209"/>
      <c r="AK50" s="1210"/>
      <c r="AL50" s="156"/>
      <c r="AM50" s="521" t="b">
        <v>0</v>
      </c>
      <c r="AN50" s="612" t="s">
        <v>2083</v>
      </c>
      <c r="AO50" s="612"/>
      <c r="AP50" s="612"/>
      <c r="AR50" s="521" t="b">
        <v>1</v>
      </c>
      <c r="AS50" s="612" t="s">
        <v>2081</v>
      </c>
      <c r="AT50" s="612"/>
    </row>
    <row r="51" spans="1:59" s="157" customFormat="1" ht="18" customHeight="1">
      <c r="A51" s="156"/>
      <c r="B51" s="648"/>
      <c r="C51" s="649"/>
      <c r="D51" s="649"/>
      <c r="E51" s="649"/>
      <c r="F51" s="1208"/>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c r="AF51" s="1209"/>
      <c r="AG51" s="1209"/>
      <c r="AH51" s="1209"/>
      <c r="AI51" s="1209"/>
      <c r="AJ51" s="1209"/>
      <c r="AK51" s="1210"/>
      <c r="AL51" s="156"/>
      <c r="AM51" s="521" t="b">
        <v>0</v>
      </c>
      <c r="AN51" s="612" t="s">
        <v>61</v>
      </c>
      <c r="AO51" s="612"/>
      <c r="AP51" s="612"/>
      <c r="AR51" s="521" t="b">
        <v>0</v>
      </c>
      <c r="AS51" s="612" t="s">
        <v>64</v>
      </c>
      <c r="AT51" s="612"/>
    </row>
    <row r="52" spans="1:59" s="157" customFormat="1" ht="18" customHeight="1">
      <c r="A52" s="156"/>
      <c r="B52" s="648"/>
      <c r="C52" s="649"/>
      <c r="D52" s="649"/>
      <c r="E52" s="649"/>
      <c r="F52" s="1211"/>
      <c r="G52" s="1212"/>
      <c r="H52" s="1212"/>
      <c r="I52" s="1212"/>
      <c r="J52" s="1212"/>
      <c r="K52" s="1212"/>
      <c r="L52" s="1212"/>
      <c r="M52" s="1212"/>
      <c r="N52" s="1212"/>
      <c r="O52" s="1212"/>
      <c r="P52" s="1212"/>
      <c r="Q52" s="1212"/>
      <c r="R52" s="1212"/>
      <c r="S52" s="1212"/>
      <c r="T52" s="1212"/>
      <c r="U52" s="1212"/>
      <c r="V52" s="1212"/>
      <c r="W52" s="1212"/>
      <c r="X52" s="1212"/>
      <c r="Y52" s="1212"/>
      <c r="Z52" s="1212"/>
      <c r="AA52" s="1212"/>
      <c r="AB52" s="1212"/>
      <c r="AC52" s="1212"/>
      <c r="AD52" s="1212"/>
      <c r="AE52" s="1212"/>
      <c r="AF52" s="1212"/>
      <c r="AG52" s="1212"/>
      <c r="AH52" s="1212"/>
      <c r="AI52" s="1212"/>
      <c r="AJ52" s="1212"/>
      <c r="AK52" s="1213"/>
      <c r="AL52" s="156"/>
      <c r="AM52" s="521" t="b">
        <v>1</v>
      </c>
      <c r="AN52" s="612" t="s">
        <v>62</v>
      </c>
      <c r="AO52" s="612"/>
      <c r="AP52" s="612"/>
      <c r="AR52" s="521" t="b">
        <v>1</v>
      </c>
      <c r="AS52" s="612" t="s">
        <v>2084</v>
      </c>
      <c r="AT52" s="612"/>
    </row>
    <row r="53" spans="1:59" s="157" customFormat="1" ht="18.75" customHeight="1">
      <c r="A53" s="156"/>
      <c r="B53" s="648"/>
      <c r="C53" s="649"/>
      <c r="D53" s="649"/>
      <c r="E53" s="649"/>
      <c r="F53" s="207" t="s">
        <v>71</v>
      </c>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208"/>
      <c r="AL53" s="156"/>
      <c r="AM53" s="521" t="b">
        <v>1</v>
      </c>
      <c r="AN53" s="612" t="s">
        <v>63</v>
      </c>
      <c r="AO53" s="612"/>
      <c r="AP53" s="612"/>
      <c r="AQ53" s="149"/>
      <c r="AR53" s="521" t="b">
        <v>0</v>
      </c>
      <c r="AS53" s="612" t="s">
        <v>77</v>
      </c>
      <c r="AT53" s="612"/>
      <c r="AV53" s="149"/>
      <c r="AW53" s="149"/>
      <c r="AX53" s="149"/>
      <c r="AY53" s="149"/>
      <c r="AZ53" s="149"/>
      <c r="BG53" s="149"/>
    </row>
    <row r="54" spans="1:59" ht="18.75" customHeight="1">
      <c r="A54" s="147"/>
      <c r="B54" s="650"/>
      <c r="C54" s="651"/>
      <c r="D54" s="651"/>
      <c r="E54" s="651"/>
      <c r="F54" s="209" t="s">
        <v>72</v>
      </c>
      <c r="G54" s="529"/>
      <c r="H54" s="529"/>
      <c r="I54" s="529"/>
      <c r="J54" s="529"/>
      <c r="K54" s="529"/>
      <c r="L54" s="529"/>
      <c r="M54" s="1214" t="s">
        <v>73</v>
      </c>
      <c r="N54" s="1215"/>
      <c r="O54" s="1215"/>
      <c r="P54" s="1215">
        <v>30</v>
      </c>
      <c r="Q54" s="1215"/>
      <c r="R54" s="205" t="s">
        <v>74</v>
      </c>
      <c r="S54" s="1215">
        <v>4</v>
      </c>
      <c r="T54" s="1215"/>
      <c r="U54" s="205" t="s">
        <v>75</v>
      </c>
      <c r="V54" s="205" t="s">
        <v>68</v>
      </c>
      <c r="W54" s="210"/>
      <c r="X54" s="526" t="s">
        <v>76</v>
      </c>
      <c r="Y54" s="205"/>
      <c r="Z54" s="205"/>
      <c r="AA54" s="210"/>
      <c r="AB54" s="526" t="s">
        <v>77</v>
      </c>
      <c r="AC54" s="205"/>
      <c r="AD54" s="205" t="s">
        <v>69</v>
      </c>
      <c r="AE54" s="211"/>
      <c r="AF54" s="211"/>
      <c r="AG54" s="211"/>
      <c r="AH54" s="211"/>
      <c r="AI54" s="211"/>
      <c r="AJ54" s="211"/>
      <c r="AK54" s="212"/>
      <c r="AL54" s="156"/>
      <c r="AM54" s="521" t="b">
        <v>0</v>
      </c>
      <c r="AN54" s="612" t="s">
        <v>64</v>
      </c>
      <c r="AO54" s="612"/>
      <c r="AP54" s="612"/>
      <c r="AR54" s="521" t="b">
        <v>1</v>
      </c>
      <c r="AS54" s="612" t="s">
        <v>2085</v>
      </c>
      <c r="AT54" s="612"/>
    </row>
    <row r="55" spans="1:59" ht="24.75" customHeight="1">
      <c r="A55" s="147"/>
      <c r="B55" s="631" t="s">
        <v>78</v>
      </c>
      <c r="C55" s="632"/>
      <c r="D55" s="632"/>
      <c r="E55" s="633"/>
      <c r="F55" s="637"/>
      <c r="G55" s="639" t="s">
        <v>79</v>
      </c>
      <c r="H55" s="640"/>
      <c r="I55" s="641"/>
      <c r="J55" s="639" t="s">
        <v>80</v>
      </c>
      <c r="K55" s="640"/>
      <c r="L55" s="640"/>
      <c r="M55" s="645"/>
      <c r="N55" s="1216" t="s">
        <v>2343</v>
      </c>
      <c r="O55" s="1216"/>
      <c r="P55" s="1216"/>
      <c r="Q55" s="1216"/>
      <c r="R55" s="1216"/>
      <c r="S55" s="1216"/>
      <c r="T55" s="1216"/>
      <c r="U55" s="1216"/>
      <c r="V55" s="1216"/>
      <c r="W55" s="1216"/>
      <c r="X55" s="1216"/>
      <c r="Y55" s="1216"/>
      <c r="Z55" s="1216"/>
      <c r="AA55" s="1216"/>
      <c r="AB55" s="1216"/>
      <c r="AC55" s="1216"/>
      <c r="AD55" s="1216"/>
      <c r="AE55" s="1216"/>
      <c r="AF55" s="1216"/>
      <c r="AG55" s="1216"/>
      <c r="AH55" s="1216"/>
      <c r="AI55" s="1216"/>
      <c r="AJ55" s="1216"/>
      <c r="AK55" s="1217"/>
      <c r="AL55" s="211"/>
      <c r="AM55" s="157"/>
    </row>
    <row r="56" spans="1:59" ht="18.75" customHeight="1" thickBot="1">
      <c r="A56" s="147"/>
      <c r="B56" s="634"/>
      <c r="C56" s="635"/>
      <c r="D56" s="635"/>
      <c r="E56" s="636"/>
      <c r="F56" s="638"/>
      <c r="G56" s="642"/>
      <c r="H56" s="643"/>
      <c r="I56" s="644"/>
      <c r="J56" s="642"/>
      <c r="K56" s="643"/>
      <c r="L56" s="643"/>
      <c r="M56" s="644"/>
      <c r="N56" s="1218"/>
      <c r="O56" s="1218"/>
      <c r="P56" s="1218"/>
      <c r="Q56" s="1218"/>
      <c r="R56" s="1218"/>
      <c r="S56" s="1218"/>
      <c r="T56" s="1218"/>
      <c r="U56" s="1218"/>
      <c r="V56" s="1218"/>
      <c r="W56" s="1218"/>
      <c r="X56" s="1218"/>
      <c r="Y56" s="1218"/>
      <c r="Z56" s="1218"/>
      <c r="AA56" s="1218"/>
      <c r="AB56" s="1218"/>
      <c r="AC56" s="1218"/>
      <c r="AD56" s="1218"/>
      <c r="AE56" s="1218"/>
      <c r="AF56" s="1218"/>
      <c r="AG56" s="1218"/>
      <c r="AH56" s="1218"/>
      <c r="AI56" s="1218"/>
      <c r="AJ56" s="1218"/>
      <c r="AK56" s="1219"/>
      <c r="AL56" s="211"/>
      <c r="BB56" s="185"/>
    </row>
    <row r="57" spans="1:59" ht="7.5" customHeight="1">
      <c r="A57" s="147"/>
      <c r="B57" s="213"/>
      <c r="C57" s="213"/>
      <c r="D57" s="213"/>
      <c r="E57" s="213"/>
      <c r="F57" s="526"/>
      <c r="G57" s="211"/>
      <c r="H57" s="211"/>
      <c r="I57" s="211"/>
      <c r="J57" s="211"/>
      <c r="K57" s="211"/>
      <c r="L57" s="211"/>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156"/>
      <c r="AM57" s="157"/>
      <c r="BA57" s="185"/>
    </row>
    <row r="58" spans="1:59" ht="21" customHeight="1">
      <c r="A58" s="147"/>
      <c r="B58" s="620" t="s">
        <v>2233</v>
      </c>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620"/>
      <c r="AI58" s="620"/>
      <c r="AJ58" s="620"/>
      <c r="AK58" s="620"/>
      <c r="AL58" s="147"/>
    </row>
    <row r="59" spans="1:59" ht="33" customHeight="1" thickBot="1">
      <c r="A59" s="147"/>
      <c r="B59" s="621" t="s">
        <v>2086</v>
      </c>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147"/>
      <c r="AS59" s="185"/>
    </row>
    <row r="60" spans="1:59" ht="18.75" customHeight="1">
      <c r="A60" s="147"/>
      <c r="B60" s="214" t="s">
        <v>32</v>
      </c>
      <c r="C60" s="622" t="s">
        <v>81</v>
      </c>
      <c r="D60" s="623"/>
      <c r="E60" s="623"/>
      <c r="F60" s="623"/>
      <c r="G60" s="623"/>
      <c r="H60" s="623"/>
      <c r="I60" s="623"/>
      <c r="J60" s="623"/>
      <c r="K60" s="623"/>
      <c r="L60" s="623"/>
      <c r="M60" s="623"/>
      <c r="N60" s="623"/>
      <c r="O60" s="623"/>
      <c r="P60" s="623"/>
      <c r="Q60" s="623"/>
      <c r="R60" s="623"/>
      <c r="S60" s="624"/>
      <c r="T60" s="625">
        <f>SUM('別紙様式6-2 事業所個票１:事業所個票10'!$BN$51)</f>
        <v>2989250</v>
      </c>
      <c r="U60" s="626"/>
      <c r="V60" s="626"/>
      <c r="W60" s="626"/>
      <c r="X60" s="626"/>
      <c r="Y60" s="627"/>
      <c r="Z60" s="177" t="s">
        <v>31</v>
      </c>
      <c r="AA60" s="166" t="s">
        <v>38</v>
      </c>
      <c r="AB60" s="547" t="str">
        <f>IFERROR(IF(T61&gt;=T60,"○","×"),"")</f>
        <v>○</v>
      </c>
      <c r="AC60" s="215"/>
      <c r="AD60" s="216"/>
      <c r="AE60" s="216"/>
      <c r="AF60" s="216"/>
      <c r="AG60" s="216"/>
      <c r="AH60" s="216"/>
      <c r="AI60" s="216"/>
      <c r="AJ60" s="216"/>
      <c r="AK60" s="216"/>
      <c r="AL60" s="147"/>
      <c r="AM60" s="586" t="s">
        <v>2087</v>
      </c>
      <c r="AN60" s="587"/>
      <c r="AO60" s="587"/>
      <c r="AP60" s="587"/>
      <c r="AQ60" s="587"/>
      <c r="AR60" s="587"/>
      <c r="AS60" s="587"/>
      <c r="AT60" s="587"/>
      <c r="AU60" s="587"/>
      <c r="AV60" s="587"/>
      <c r="AW60" s="587"/>
      <c r="AX60" s="587"/>
      <c r="AY60" s="587"/>
      <c r="AZ60" s="587"/>
      <c r="BA60" s="587"/>
      <c r="BB60" s="587"/>
      <c r="BC60" s="588"/>
    </row>
    <row r="61" spans="1:59" ht="27" customHeight="1" thickBot="1">
      <c r="A61" s="147"/>
      <c r="B61" s="214" t="s">
        <v>39</v>
      </c>
      <c r="C61" s="628" t="s">
        <v>82</v>
      </c>
      <c r="D61" s="629"/>
      <c r="E61" s="629"/>
      <c r="F61" s="629"/>
      <c r="G61" s="629"/>
      <c r="H61" s="629"/>
      <c r="I61" s="629"/>
      <c r="J61" s="629"/>
      <c r="K61" s="629"/>
      <c r="L61" s="629"/>
      <c r="M61" s="629"/>
      <c r="N61" s="629"/>
      <c r="O61" s="629"/>
      <c r="P61" s="629"/>
      <c r="Q61" s="629"/>
      <c r="R61" s="629"/>
      <c r="S61" s="630"/>
      <c r="T61" s="1220">
        <v>3000000</v>
      </c>
      <c r="U61" s="1221"/>
      <c r="V61" s="1221"/>
      <c r="W61" s="1221"/>
      <c r="X61" s="1221"/>
      <c r="Y61" s="1222"/>
      <c r="Z61" s="168" t="s">
        <v>31</v>
      </c>
      <c r="AA61" s="166" t="s">
        <v>38</v>
      </c>
      <c r="AB61" s="548"/>
      <c r="AC61" s="215"/>
      <c r="AD61" s="216"/>
      <c r="AE61" s="216"/>
      <c r="AF61" s="216"/>
      <c r="AG61" s="216"/>
      <c r="AH61" s="216"/>
      <c r="AI61" s="216"/>
      <c r="AJ61" s="216"/>
      <c r="AK61" s="216"/>
      <c r="AL61" s="147"/>
      <c r="AM61" s="589"/>
      <c r="AN61" s="590"/>
      <c r="AO61" s="590"/>
      <c r="AP61" s="590"/>
      <c r="AQ61" s="590"/>
      <c r="AR61" s="590"/>
      <c r="AS61" s="590"/>
      <c r="AT61" s="590"/>
      <c r="AU61" s="590"/>
      <c r="AV61" s="590"/>
      <c r="AW61" s="590"/>
      <c r="AX61" s="590"/>
      <c r="AY61" s="590"/>
      <c r="AZ61" s="590"/>
      <c r="BA61" s="590"/>
      <c r="BB61" s="590"/>
      <c r="BC61" s="591"/>
    </row>
    <row r="62" spans="1:59" ht="3.75" customHeight="1">
      <c r="A62" s="147"/>
      <c r="B62" s="182"/>
      <c r="C62" s="217"/>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218"/>
      <c r="AN62" s="218"/>
      <c r="AO62" s="218"/>
      <c r="AP62" s="218"/>
      <c r="BB62" s="185"/>
    </row>
    <row r="63" spans="1:59">
      <c r="A63" s="147"/>
      <c r="B63" s="182" t="s">
        <v>26</v>
      </c>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519"/>
      <c r="AM63" s="218"/>
      <c r="AN63" s="218"/>
      <c r="AO63" s="218"/>
      <c r="AP63" s="218"/>
      <c r="BB63" s="185"/>
    </row>
    <row r="64" spans="1:59" ht="33.75" customHeight="1">
      <c r="A64" s="147"/>
      <c r="B64" s="183" t="s">
        <v>27</v>
      </c>
      <c r="C64" s="585" t="s">
        <v>2151</v>
      </c>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5"/>
      <c r="AL64" s="519"/>
      <c r="AM64" s="218"/>
      <c r="AN64" s="218"/>
      <c r="AO64" s="218"/>
      <c r="AP64" s="218"/>
      <c r="BB64" s="185"/>
    </row>
    <row r="65" spans="1:81" ht="7.5" customHeight="1">
      <c r="A65" s="147"/>
      <c r="B65" s="183"/>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19"/>
      <c r="AM65" s="218"/>
      <c r="AN65" s="218"/>
      <c r="AO65" s="218"/>
      <c r="AP65" s="218"/>
      <c r="BB65" s="185"/>
    </row>
    <row r="66" spans="1:81" ht="30.75" customHeight="1" thickBot="1">
      <c r="A66" s="147"/>
      <c r="B66" s="658" t="s">
        <v>2152</v>
      </c>
      <c r="C66" s="658"/>
      <c r="D66" s="658"/>
      <c r="E66" s="658"/>
      <c r="F66" s="658"/>
      <c r="G66" s="658"/>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8"/>
      <c r="AJ66" s="658"/>
      <c r="AK66" s="658"/>
      <c r="AL66" s="147"/>
    </row>
    <row r="67" spans="1:81" ht="23.25" customHeight="1" thickBot="1">
      <c r="A67" s="147"/>
      <c r="B67" s="659" t="s">
        <v>85</v>
      </c>
      <c r="C67" s="660"/>
      <c r="D67" s="660"/>
      <c r="E67" s="660"/>
      <c r="F67" s="660"/>
      <c r="G67" s="660"/>
      <c r="H67" s="660"/>
      <c r="I67" s="660"/>
      <c r="J67" s="660"/>
      <c r="K67" s="660"/>
      <c r="L67" s="660"/>
      <c r="M67" s="660"/>
      <c r="N67" s="660"/>
      <c r="O67" s="660"/>
      <c r="P67" s="660"/>
      <c r="Q67" s="660"/>
      <c r="R67" s="660"/>
      <c r="S67" s="661"/>
      <c r="T67" s="662">
        <f>SUM('別紙様式6-2 事業所個票１:事業所個票10'!BV51)</f>
        <v>0</v>
      </c>
      <c r="U67" s="663"/>
      <c r="V67" s="663"/>
      <c r="W67" s="663"/>
      <c r="X67" s="663"/>
      <c r="Y67" s="219" t="s">
        <v>31</v>
      </c>
      <c r="Z67" s="220" t="s">
        <v>38</v>
      </c>
      <c r="AA67" s="221"/>
      <c r="AB67" s="147"/>
      <c r="AC67" s="147"/>
      <c r="AD67" s="147"/>
      <c r="AE67" s="147"/>
      <c r="AF67" s="147"/>
      <c r="AG67" s="147" t="s">
        <v>38</v>
      </c>
      <c r="AH67" s="222" t="str">
        <f>IF(T68&lt;T67,"×","")</f>
        <v/>
      </c>
      <c r="AI67" s="147"/>
      <c r="AJ67" s="147"/>
      <c r="AK67" s="147"/>
      <c r="AL67" s="147"/>
      <c r="AM67" s="606" t="s">
        <v>2153</v>
      </c>
      <c r="AN67" s="664"/>
      <c r="AO67" s="664"/>
      <c r="AP67" s="664"/>
      <c r="AQ67" s="664"/>
      <c r="AR67" s="664"/>
      <c r="AS67" s="664"/>
      <c r="AT67" s="664"/>
      <c r="AU67" s="664"/>
      <c r="AV67" s="664"/>
      <c r="AW67" s="664"/>
      <c r="AX67" s="664"/>
      <c r="AY67" s="664"/>
      <c r="AZ67" s="664"/>
      <c r="BA67" s="664"/>
      <c r="BB67" s="664"/>
      <c r="BC67" s="665"/>
    </row>
    <row r="68" spans="1:81" ht="23.25" customHeight="1" thickBot="1">
      <c r="A68" s="147"/>
      <c r="B68" s="666" t="s">
        <v>2154</v>
      </c>
      <c r="C68" s="667"/>
      <c r="D68" s="667"/>
      <c r="E68" s="667"/>
      <c r="F68" s="667"/>
      <c r="G68" s="667"/>
      <c r="H68" s="667"/>
      <c r="I68" s="667"/>
      <c r="J68" s="667"/>
      <c r="K68" s="667"/>
      <c r="L68" s="667"/>
      <c r="M68" s="667"/>
      <c r="N68" s="667"/>
      <c r="O68" s="667"/>
      <c r="P68" s="667"/>
      <c r="Q68" s="667"/>
      <c r="R68" s="667"/>
      <c r="S68" s="667"/>
      <c r="T68" s="1223"/>
      <c r="U68" s="1224"/>
      <c r="V68" s="1224"/>
      <c r="W68" s="1224"/>
      <c r="X68" s="1225"/>
      <c r="Y68" s="223" t="s">
        <v>31</v>
      </c>
      <c r="Z68" s="147"/>
      <c r="AA68" s="224" t="s">
        <v>68</v>
      </c>
      <c r="AB68" s="668">
        <f>IFERROR(T69/T67*100,0)</f>
        <v>0</v>
      </c>
      <c r="AC68" s="669"/>
      <c r="AD68" s="670"/>
      <c r="AE68" s="225" t="s">
        <v>86</v>
      </c>
      <c r="AF68" s="225" t="s">
        <v>69</v>
      </c>
      <c r="AG68" s="147" t="s">
        <v>38</v>
      </c>
      <c r="AH68" s="175" t="str">
        <f>IF(T67=0,"",(IF(AB68&gt;=200/3,"○","×")))</f>
        <v/>
      </c>
      <c r="AI68" s="526"/>
      <c r="AJ68" s="526"/>
      <c r="AK68" s="526"/>
      <c r="AL68" s="147"/>
      <c r="AM68" s="606" t="s">
        <v>2155</v>
      </c>
      <c r="AN68" s="664"/>
      <c r="AO68" s="664"/>
      <c r="AP68" s="664"/>
      <c r="AQ68" s="664"/>
      <c r="AR68" s="664"/>
      <c r="AS68" s="664"/>
      <c r="AT68" s="664"/>
      <c r="AU68" s="664"/>
      <c r="AV68" s="664"/>
      <c r="AW68" s="664"/>
      <c r="AX68" s="664"/>
      <c r="AY68" s="664"/>
      <c r="AZ68" s="664"/>
      <c r="BA68" s="664"/>
      <c r="BB68" s="664"/>
      <c r="BC68" s="665"/>
    </row>
    <row r="69" spans="1:81" ht="19.5" customHeight="1" thickBot="1">
      <c r="A69" s="147"/>
      <c r="B69" s="226"/>
      <c r="C69" s="652" t="s">
        <v>2156</v>
      </c>
      <c r="D69" s="652"/>
      <c r="E69" s="652"/>
      <c r="F69" s="652"/>
      <c r="G69" s="652"/>
      <c r="H69" s="652"/>
      <c r="I69" s="652"/>
      <c r="J69" s="652"/>
      <c r="K69" s="652"/>
      <c r="L69" s="652"/>
      <c r="M69" s="652"/>
      <c r="N69" s="652"/>
      <c r="O69" s="652"/>
      <c r="P69" s="652"/>
      <c r="Q69" s="652"/>
      <c r="R69" s="652"/>
      <c r="S69" s="652"/>
      <c r="T69" s="1226"/>
      <c r="U69" s="1227"/>
      <c r="V69" s="1227"/>
      <c r="W69" s="1227"/>
      <c r="X69" s="1228"/>
      <c r="Y69" s="227" t="s">
        <v>31</v>
      </c>
      <c r="Z69" s="228" t="s">
        <v>38</v>
      </c>
      <c r="AA69" s="26"/>
      <c r="AB69" s="229"/>
      <c r="AC69" s="230"/>
      <c r="AD69" s="524"/>
      <c r="AE69" s="524"/>
      <c r="AF69" s="225"/>
      <c r="AG69" s="147"/>
      <c r="AH69" s="147"/>
      <c r="AI69" s="526"/>
      <c r="AJ69" s="147"/>
      <c r="AK69" s="526"/>
      <c r="AL69" s="526"/>
    </row>
    <row r="70" spans="1:81" ht="16.5" customHeight="1">
      <c r="A70" s="147"/>
      <c r="B70" s="231"/>
      <c r="C70" s="653"/>
      <c r="D70" s="653"/>
      <c r="E70" s="653"/>
      <c r="F70" s="653"/>
      <c r="G70" s="653"/>
      <c r="H70" s="653"/>
      <c r="I70" s="653"/>
      <c r="J70" s="653"/>
      <c r="K70" s="653"/>
      <c r="L70" s="653"/>
      <c r="M70" s="653"/>
      <c r="N70" s="653"/>
      <c r="O70" s="653"/>
      <c r="P70" s="653"/>
      <c r="Q70" s="653"/>
      <c r="R70" s="653"/>
      <c r="S70" s="653"/>
      <c r="T70" s="232" t="s">
        <v>68</v>
      </c>
      <c r="U70" s="654">
        <f>T69/10</f>
        <v>0</v>
      </c>
      <c r="V70" s="654"/>
      <c r="W70" s="654"/>
      <c r="X70" s="27" t="s">
        <v>31</v>
      </c>
      <c r="Y70" s="2" t="s">
        <v>69</v>
      </c>
      <c r="Z70" s="147"/>
      <c r="AA70" s="147"/>
      <c r="AB70" s="147"/>
      <c r="AC70" s="147"/>
      <c r="AD70" s="147"/>
      <c r="AE70" s="147"/>
      <c r="AF70" s="147"/>
      <c r="AG70" s="147"/>
      <c r="AH70" s="233"/>
      <c r="AI70" s="526"/>
      <c r="AJ70" s="526"/>
      <c r="AK70" s="526"/>
      <c r="AL70" s="526"/>
    </row>
    <row r="71" spans="1:81" ht="9.75" customHeight="1">
      <c r="A71" s="147"/>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526"/>
      <c r="AK71" s="526"/>
      <c r="AL71" s="526"/>
    </row>
    <row r="72" spans="1:81" ht="20.25" customHeight="1">
      <c r="A72" s="147"/>
      <c r="B72" s="655" t="s">
        <v>87</v>
      </c>
      <c r="C72" s="656"/>
      <c r="D72" s="656"/>
      <c r="E72" s="656"/>
      <c r="F72" s="656"/>
      <c r="G72" s="656"/>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147"/>
    </row>
    <row r="73" spans="1:81" s="234" customFormat="1" ht="14.25" customHeight="1">
      <c r="A73" s="182"/>
      <c r="B73" s="182"/>
      <c r="C73" s="217" t="s">
        <v>88</v>
      </c>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row>
    <row r="74" spans="1:81" s="234" customFormat="1" ht="15" customHeight="1" thickBot="1">
      <c r="A74" s="182"/>
      <c r="B74" s="182"/>
      <c r="C74" s="152" t="s">
        <v>83</v>
      </c>
      <c r="D74" s="657" t="s">
        <v>2157</v>
      </c>
      <c r="E74" s="657"/>
      <c r="F74" s="657"/>
      <c r="G74" s="657"/>
      <c r="H74" s="657"/>
      <c r="I74" s="657"/>
      <c r="J74" s="657"/>
      <c r="K74" s="657"/>
      <c r="L74" s="657"/>
      <c r="M74" s="657"/>
      <c r="N74" s="657"/>
      <c r="O74" s="657"/>
      <c r="P74" s="657"/>
      <c r="Q74" s="657"/>
      <c r="R74" s="657"/>
      <c r="S74" s="657"/>
      <c r="T74" s="657"/>
      <c r="U74" s="657"/>
      <c r="V74" s="657"/>
      <c r="W74" s="657"/>
      <c r="X74" s="657"/>
      <c r="Y74" s="657"/>
      <c r="Z74" s="657"/>
      <c r="AA74" s="657"/>
      <c r="AB74" s="657"/>
      <c r="AC74" s="657"/>
      <c r="AD74" s="657"/>
      <c r="AE74" s="657"/>
      <c r="AF74" s="657"/>
      <c r="AG74" s="657"/>
      <c r="AH74" s="657"/>
      <c r="AI74" s="657"/>
      <c r="AJ74" s="657"/>
      <c r="AK74" s="657"/>
      <c r="AL74" s="519"/>
      <c r="AM74" s="521" t="b">
        <v>1</v>
      </c>
      <c r="AN74" s="612" t="s">
        <v>2088</v>
      </c>
      <c r="AO74" s="612"/>
      <c r="AP74" s="612"/>
      <c r="AQ74" s="235"/>
      <c r="AR74" s="236" t="str">
        <f>IF(SUM('別紙様式6-2 事業所個票１:事業所個票10'!CI3)&gt;=1,"該当","")</f>
        <v>該当</v>
      </c>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row>
    <row r="75" spans="1:81" s="234" customFormat="1" ht="21" customHeight="1" thickBot="1">
      <c r="A75" s="182"/>
      <c r="B75" s="182"/>
      <c r="C75" s="671"/>
      <c r="D75" s="672"/>
      <c r="E75" s="673" t="s">
        <v>2158</v>
      </c>
      <c r="F75" s="673"/>
      <c r="G75" s="673"/>
      <c r="H75" s="673"/>
      <c r="I75" s="673"/>
      <c r="J75" s="673"/>
      <c r="K75" s="673"/>
      <c r="L75" s="673"/>
      <c r="M75" s="673"/>
      <c r="N75" s="673"/>
      <c r="O75" s="673"/>
      <c r="P75" s="673"/>
      <c r="Q75" s="673"/>
      <c r="R75" s="673"/>
      <c r="S75" s="673"/>
      <c r="T75" s="673"/>
      <c r="U75" s="673"/>
      <c r="V75" s="673"/>
      <c r="W75" s="673"/>
      <c r="X75" s="580"/>
      <c r="Y75" s="70" t="s">
        <v>38</v>
      </c>
      <c r="Z75" s="175" t="str">
        <f>IF(AR74&lt;&gt;"該当","",IF(AM74=TRUE,"○","×"))</f>
        <v>○</v>
      </c>
      <c r="AA75" s="237"/>
      <c r="AB75" s="237"/>
      <c r="AC75" s="237"/>
      <c r="AD75" s="237"/>
      <c r="AE75" s="237"/>
      <c r="AF75" s="237"/>
      <c r="AG75" s="237"/>
      <c r="AH75" s="237"/>
      <c r="AI75" s="237"/>
      <c r="AJ75" s="237"/>
      <c r="AK75" s="237"/>
      <c r="AL75" s="237"/>
      <c r="AM75" s="606" t="s">
        <v>84</v>
      </c>
      <c r="AN75" s="583"/>
      <c r="AO75" s="583"/>
      <c r="AP75" s="583"/>
      <c r="AQ75" s="583"/>
      <c r="AR75" s="674"/>
      <c r="AS75" s="674"/>
      <c r="AT75" s="583"/>
      <c r="AU75" s="583"/>
      <c r="AV75" s="583"/>
      <c r="AW75" s="583"/>
      <c r="AX75" s="583"/>
      <c r="AY75" s="583"/>
      <c r="AZ75" s="583"/>
      <c r="BA75" s="583"/>
      <c r="BB75" s="583"/>
      <c r="BC75" s="584"/>
      <c r="BD75" s="235"/>
      <c r="BE75" s="235"/>
      <c r="BF75" s="235"/>
      <c r="BG75" s="235"/>
      <c r="BH75" s="235"/>
      <c r="BI75" s="235"/>
      <c r="BJ75" s="235"/>
      <c r="BK75" s="235"/>
      <c r="BL75" s="235"/>
      <c r="BM75" s="235"/>
      <c r="BN75" s="235"/>
      <c r="BO75" s="235"/>
      <c r="BP75" s="235"/>
      <c r="BQ75" s="235"/>
    </row>
    <row r="76" spans="1:81" s="234" customFormat="1" ht="5.25" customHeight="1">
      <c r="A76" s="182"/>
      <c r="B76" s="182"/>
      <c r="C76" s="182"/>
      <c r="D76" s="182"/>
      <c r="E76" s="182"/>
      <c r="F76" s="182"/>
      <c r="G76" s="182"/>
      <c r="H76" s="182"/>
      <c r="I76" s="182"/>
      <c r="J76" s="238"/>
      <c r="K76" s="238"/>
      <c r="L76" s="238"/>
      <c r="M76" s="238"/>
      <c r="N76" s="238"/>
      <c r="O76" s="238"/>
      <c r="P76" s="238"/>
      <c r="Q76" s="238"/>
      <c r="R76" s="238"/>
      <c r="S76" s="238"/>
      <c r="T76" s="238"/>
      <c r="U76" s="238"/>
      <c r="V76" s="238"/>
      <c r="W76" s="238"/>
      <c r="X76" s="238"/>
      <c r="Y76" s="237"/>
      <c r="Z76" s="237"/>
      <c r="AA76" s="237"/>
      <c r="AB76" s="237"/>
      <c r="AC76" s="237"/>
      <c r="AD76" s="237"/>
      <c r="AE76" s="237"/>
      <c r="AF76" s="237"/>
      <c r="AG76" s="237"/>
      <c r="AH76" s="237"/>
      <c r="AI76" s="237"/>
      <c r="AJ76" s="237"/>
      <c r="AK76" s="237"/>
      <c r="AL76" s="237"/>
      <c r="AN76" s="239"/>
      <c r="AO76" s="239"/>
      <c r="AP76" s="239"/>
      <c r="AQ76" s="239"/>
      <c r="AR76" s="239"/>
      <c r="AS76" s="239"/>
      <c r="AT76" s="239"/>
      <c r="AU76" s="239"/>
      <c r="AV76" s="239"/>
      <c r="AW76" s="239"/>
      <c r="AX76" s="239"/>
      <c r="AY76" s="239"/>
      <c r="AZ76" s="239"/>
      <c r="BA76" s="239"/>
      <c r="BB76" s="239"/>
      <c r="BC76" s="239"/>
      <c r="BD76" s="239"/>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row>
    <row r="77" spans="1:81" s="234" customFormat="1" ht="14.25">
      <c r="A77" s="182"/>
      <c r="B77" s="182"/>
      <c r="C77" s="217" t="s">
        <v>2159</v>
      </c>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1"/>
      <c r="AG77" s="221"/>
      <c r="AH77" s="221"/>
      <c r="AI77" s="221"/>
      <c r="AJ77" s="221"/>
      <c r="AK77" s="221"/>
      <c r="AL77" s="221"/>
      <c r="AN77" s="239"/>
      <c r="AO77" s="239"/>
      <c r="AP77" s="239"/>
      <c r="AQ77" s="239"/>
      <c r="AR77" s="239"/>
      <c r="AS77" s="239"/>
      <c r="AT77" s="239"/>
      <c r="AU77" s="239"/>
      <c r="AV77" s="239"/>
      <c r="AW77" s="239"/>
      <c r="AX77" s="239"/>
      <c r="AY77" s="239"/>
      <c r="AZ77" s="239"/>
      <c r="BA77" s="239"/>
      <c r="BB77" s="239"/>
      <c r="BC77" s="239"/>
      <c r="BD77" s="239"/>
      <c r="BE77" s="235"/>
      <c r="BF77" s="235"/>
      <c r="BG77" s="235"/>
      <c r="BH77" s="235"/>
      <c r="BI77" s="235"/>
      <c r="BJ77" s="235"/>
      <c r="BK77" s="235"/>
      <c r="BL77" s="235"/>
      <c r="BM77" s="235"/>
      <c r="BN77" s="235"/>
      <c r="BO77" s="235"/>
      <c r="BP77" s="235"/>
      <c r="BQ77" s="235"/>
      <c r="BR77" s="235"/>
      <c r="BS77" s="235"/>
      <c r="BT77" s="235"/>
      <c r="BU77" s="235"/>
      <c r="BV77" s="235"/>
      <c r="BW77" s="235"/>
      <c r="BX77" s="235"/>
      <c r="BY77" s="235"/>
      <c r="BZ77" s="235"/>
      <c r="CA77" s="235"/>
      <c r="CB77" s="235"/>
      <c r="CC77" s="235"/>
    </row>
    <row r="78" spans="1:81" s="234" customFormat="1" ht="24.75" customHeight="1" thickBot="1">
      <c r="A78" s="182"/>
      <c r="B78" s="182"/>
      <c r="C78" s="240" t="s">
        <v>83</v>
      </c>
      <c r="D78" s="585" t="s">
        <v>2232</v>
      </c>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5"/>
      <c r="AL78" s="519"/>
      <c r="AN78" s="239"/>
      <c r="AO78" s="239"/>
      <c r="AP78" s="239"/>
      <c r="AQ78" s="239"/>
      <c r="AR78" s="239"/>
      <c r="AS78" s="239"/>
      <c r="AT78" s="239"/>
      <c r="AU78" s="239"/>
      <c r="AV78" s="239"/>
      <c r="AW78" s="239"/>
      <c r="AX78" s="239"/>
      <c r="AY78" s="239"/>
      <c r="AZ78" s="239"/>
      <c r="BA78" s="239"/>
      <c r="BB78" s="239"/>
      <c r="BC78" s="239"/>
      <c r="BD78" s="239"/>
      <c r="BE78" s="235"/>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235"/>
    </row>
    <row r="79" spans="1:81" ht="18" customHeight="1">
      <c r="A79" s="147"/>
      <c r="B79" s="241"/>
      <c r="C79" s="675" t="s">
        <v>89</v>
      </c>
      <c r="D79" s="660"/>
      <c r="E79" s="660"/>
      <c r="F79" s="660"/>
      <c r="G79" s="660"/>
      <c r="H79" s="660"/>
      <c r="I79" s="660"/>
      <c r="J79" s="660"/>
      <c r="K79" s="660"/>
      <c r="L79" s="660"/>
      <c r="M79" s="660"/>
      <c r="N79" s="660"/>
      <c r="O79" s="660"/>
      <c r="P79" s="660"/>
      <c r="Q79" s="660"/>
      <c r="R79" s="660"/>
      <c r="S79" s="660"/>
      <c r="T79" s="661"/>
      <c r="U79" s="662">
        <f>SUM('別紙様式6-2 事業所個票１:事業所個票10'!BA51)</f>
        <v>193300</v>
      </c>
      <c r="V79" s="663"/>
      <c r="W79" s="663"/>
      <c r="X79" s="663"/>
      <c r="Y79" s="663"/>
      <c r="Z79" s="242" t="s">
        <v>31</v>
      </c>
      <c r="AA79" s="166" t="s">
        <v>38</v>
      </c>
      <c r="AB79" s="574" t="str">
        <f>IF(U80&gt;=U79,"○","×")</f>
        <v>○</v>
      </c>
      <c r="AC79" s="221"/>
      <c r="AD79" s="147"/>
      <c r="AE79" s="147"/>
      <c r="AF79" s="147"/>
      <c r="AG79" s="147"/>
      <c r="AH79" s="147"/>
      <c r="AI79" s="147"/>
      <c r="AJ79" s="147"/>
      <c r="AK79" s="147"/>
      <c r="AL79" s="147"/>
      <c r="AN79" s="239"/>
      <c r="AO79" s="239"/>
      <c r="AP79" s="239"/>
      <c r="AQ79" s="239"/>
      <c r="AR79" s="239"/>
      <c r="AS79" s="239"/>
      <c r="AT79" s="239"/>
      <c r="AU79" s="239"/>
      <c r="AV79" s="239"/>
      <c r="AW79" s="239"/>
      <c r="AX79" s="239"/>
      <c r="AY79" s="239"/>
      <c r="AZ79" s="239"/>
      <c r="BA79" s="239"/>
      <c r="BB79" s="239"/>
      <c r="BC79" s="239"/>
      <c r="BD79" s="239"/>
    </row>
    <row r="80" spans="1:81" ht="19.5" customHeight="1" thickBot="1">
      <c r="A80" s="147"/>
      <c r="B80" s="241"/>
      <c r="C80" s="676" t="s">
        <v>90</v>
      </c>
      <c r="D80" s="676"/>
      <c r="E80" s="676"/>
      <c r="F80" s="676"/>
      <c r="G80" s="676"/>
      <c r="H80" s="676"/>
      <c r="I80" s="676"/>
      <c r="J80" s="676"/>
      <c r="K80" s="676"/>
      <c r="L80" s="676"/>
      <c r="M80" s="676"/>
      <c r="N80" s="676"/>
      <c r="O80" s="676"/>
      <c r="P80" s="676"/>
      <c r="Q80" s="676"/>
      <c r="R80" s="676"/>
      <c r="S80" s="676"/>
      <c r="T80" s="677"/>
      <c r="U80" s="662">
        <f>U81+U86</f>
        <v>198000</v>
      </c>
      <c r="V80" s="663"/>
      <c r="W80" s="663"/>
      <c r="X80" s="663"/>
      <c r="Y80" s="663"/>
      <c r="Z80" s="219" t="s">
        <v>31</v>
      </c>
      <c r="AA80" s="166" t="s">
        <v>38</v>
      </c>
      <c r="AB80" s="576"/>
      <c r="AC80" s="166"/>
      <c r="AD80" s="166"/>
      <c r="AE80" s="166"/>
      <c r="AF80" s="166"/>
      <c r="AG80" s="166"/>
      <c r="AH80" s="526"/>
      <c r="AI80" s="526"/>
      <c r="AJ80" s="526"/>
      <c r="AK80" s="526"/>
      <c r="AL80" s="526"/>
      <c r="AM80" s="243"/>
    </row>
    <row r="81" spans="1:55" ht="9.75" customHeight="1" thickBot="1">
      <c r="A81" s="147"/>
      <c r="B81" s="241"/>
      <c r="C81" s="692" t="s">
        <v>2234</v>
      </c>
      <c r="D81" s="693"/>
      <c r="E81" s="697" t="s">
        <v>91</v>
      </c>
      <c r="F81" s="698"/>
      <c r="G81" s="698"/>
      <c r="H81" s="698"/>
      <c r="I81" s="698"/>
      <c r="J81" s="698"/>
      <c r="K81" s="698"/>
      <c r="L81" s="698"/>
      <c r="M81" s="698"/>
      <c r="N81" s="698"/>
      <c r="O81" s="698"/>
      <c r="P81" s="698"/>
      <c r="Q81" s="698"/>
      <c r="R81" s="698"/>
      <c r="S81" s="698"/>
      <c r="T81" s="699"/>
      <c r="U81" s="1229">
        <v>123000</v>
      </c>
      <c r="V81" s="1230"/>
      <c r="W81" s="1230"/>
      <c r="X81" s="1230"/>
      <c r="Y81" s="1231"/>
      <c r="Z81" s="703" t="s">
        <v>31</v>
      </c>
      <c r="AA81" s="705" t="s">
        <v>38</v>
      </c>
      <c r="AB81" s="147"/>
      <c r="AC81" s="225"/>
      <c r="AD81" s="244"/>
      <c r="AE81" s="244"/>
      <c r="AF81" s="225"/>
      <c r="AG81" s="147"/>
      <c r="AH81" s="526"/>
      <c r="AI81" s="147"/>
      <c r="AJ81" s="526"/>
      <c r="AK81" s="147"/>
      <c r="AL81" s="526"/>
      <c r="AM81" s="243"/>
    </row>
    <row r="82" spans="1:55" ht="9.75" customHeight="1" thickBot="1">
      <c r="A82" s="147"/>
      <c r="B82" s="241"/>
      <c r="C82" s="694"/>
      <c r="D82" s="693"/>
      <c r="E82" s="700"/>
      <c r="F82" s="701"/>
      <c r="G82" s="701"/>
      <c r="H82" s="701"/>
      <c r="I82" s="701"/>
      <c r="J82" s="701"/>
      <c r="K82" s="701"/>
      <c r="L82" s="701"/>
      <c r="M82" s="701"/>
      <c r="N82" s="701"/>
      <c r="O82" s="701"/>
      <c r="P82" s="701"/>
      <c r="Q82" s="701"/>
      <c r="R82" s="701"/>
      <c r="S82" s="701"/>
      <c r="T82" s="702"/>
      <c r="U82" s="1232"/>
      <c r="V82" s="1233"/>
      <c r="W82" s="1233"/>
      <c r="X82" s="1233"/>
      <c r="Y82" s="1234"/>
      <c r="Z82" s="704"/>
      <c r="AA82" s="705"/>
      <c r="AB82" s="706" t="s">
        <v>68</v>
      </c>
      <c r="AC82" s="678">
        <f>IFERROR(U83/U81*100,0)</f>
        <v>73.170731707317074</v>
      </c>
      <c r="AD82" s="679"/>
      <c r="AE82" s="680"/>
      <c r="AF82" s="684" t="s">
        <v>86</v>
      </c>
      <c r="AG82" s="684" t="s">
        <v>69</v>
      </c>
      <c r="AH82" s="685" t="s">
        <v>38</v>
      </c>
      <c r="AI82" s="574" t="str">
        <f>IF(U81=0,"",IF(AND(AC82&gt;=200/3,AC82&lt;=100),"○","×"))</f>
        <v>○</v>
      </c>
      <c r="AJ82" s="526"/>
      <c r="AK82" s="147"/>
      <c r="AL82" s="526"/>
      <c r="AM82" s="686" t="s">
        <v>2354</v>
      </c>
      <c r="AN82" s="687"/>
      <c r="AO82" s="687"/>
      <c r="AP82" s="687"/>
      <c r="AQ82" s="687"/>
      <c r="AR82" s="687"/>
      <c r="AS82" s="687"/>
      <c r="AT82" s="687"/>
      <c r="AU82" s="687"/>
      <c r="AV82" s="687"/>
      <c r="AW82" s="687"/>
      <c r="AX82" s="687"/>
      <c r="AY82" s="687"/>
      <c r="AZ82" s="687"/>
      <c r="BA82" s="687"/>
      <c r="BB82" s="687"/>
      <c r="BC82" s="688"/>
    </row>
    <row r="83" spans="1:55" ht="9.75" customHeight="1" thickBot="1">
      <c r="A83" s="147"/>
      <c r="B83" s="241"/>
      <c r="C83" s="694"/>
      <c r="D83" s="693"/>
      <c r="E83" s="201"/>
      <c r="F83" s="707" t="s">
        <v>2160</v>
      </c>
      <c r="G83" s="708"/>
      <c r="H83" s="708"/>
      <c r="I83" s="708"/>
      <c r="J83" s="708"/>
      <c r="K83" s="708"/>
      <c r="L83" s="708"/>
      <c r="M83" s="708"/>
      <c r="N83" s="708"/>
      <c r="O83" s="708"/>
      <c r="P83" s="708"/>
      <c r="Q83" s="708"/>
      <c r="R83" s="708"/>
      <c r="S83" s="708"/>
      <c r="T83" s="708"/>
      <c r="U83" s="1235">
        <v>90000</v>
      </c>
      <c r="V83" s="1236"/>
      <c r="W83" s="1236"/>
      <c r="X83" s="1236"/>
      <c r="Y83" s="1237"/>
      <c r="Z83" s="712" t="s">
        <v>31</v>
      </c>
      <c r="AA83" s="705" t="s">
        <v>38</v>
      </c>
      <c r="AB83" s="706"/>
      <c r="AC83" s="681"/>
      <c r="AD83" s="682"/>
      <c r="AE83" s="683"/>
      <c r="AF83" s="684"/>
      <c r="AG83" s="684"/>
      <c r="AH83" s="685"/>
      <c r="AI83" s="576"/>
      <c r="AJ83" s="526"/>
      <c r="AK83" s="147"/>
      <c r="AL83" s="526"/>
      <c r="AM83" s="689"/>
      <c r="AN83" s="690"/>
      <c r="AO83" s="690"/>
      <c r="AP83" s="690"/>
      <c r="AQ83" s="690"/>
      <c r="AR83" s="690"/>
      <c r="AS83" s="690"/>
      <c r="AT83" s="690"/>
      <c r="AU83" s="690"/>
      <c r="AV83" s="690"/>
      <c r="AW83" s="690"/>
      <c r="AX83" s="690"/>
      <c r="AY83" s="690"/>
      <c r="AZ83" s="690"/>
      <c r="BA83" s="690"/>
      <c r="BB83" s="690"/>
      <c r="BC83" s="691"/>
    </row>
    <row r="84" spans="1:55" ht="9.75" customHeight="1" thickBot="1">
      <c r="A84" s="147"/>
      <c r="B84" s="241"/>
      <c r="C84" s="694"/>
      <c r="D84" s="693"/>
      <c r="E84" s="245"/>
      <c r="F84" s="709"/>
      <c r="G84" s="657"/>
      <c r="H84" s="657"/>
      <c r="I84" s="657"/>
      <c r="J84" s="657"/>
      <c r="K84" s="657"/>
      <c r="L84" s="657"/>
      <c r="M84" s="657"/>
      <c r="N84" s="657"/>
      <c r="O84" s="657"/>
      <c r="P84" s="657"/>
      <c r="Q84" s="657"/>
      <c r="R84" s="657"/>
      <c r="S84" s="657"/>
      <c r="T84" s="657"/>
      <c r="U84" s="1232"/>
      <c r="V84" s="1233"/>
      <c r="W84" s="1233"/>
      <c r="X84" s="1233"/>
      <c r="Y84" s="1234"/>
      <c r="Z84" s="713"/>
      <c r="AA84" s="705"/>
      <c r="AB84" s="147"/>
      <c r="AC84" s="147"/>
      <c r="AD84" s="147"/>
      <c r="AE84" s="147"/>
      <c r="AF84" s="147"/>
      <c r="AG84" s="147"/>
      <c r="AH84" s="147"/>
      <c r="AI84" s="147"/>
      <c r="AJ84" s="526"/>
      <c r="AK84" s="526"/>
      <c r="AL84" s="526"/>
    </row>
    <row r="85" spans="1:55" ht="15" customHeight="1" thickBot="1">
      <c r="A85" s="147"/>
      <c r="B85" s="241"/>
      <c r="C85" s="695"/>
      <c r="D85" s="696"/>
      <c r="E85" s="246"/>
      <c r="F85" s="710"/>
      <c r="G85" s="711"/>
      <c r="H85" s="711"/>
      <c r="I85" s="711"/>
      <c r="J85" s="711"/>
      <c r="K85" s="711"/>
      <c r="L85" s="711"/>
      <c r="M85" s="711"/>
      <c r="N85" s="711"/>
      <c r="O85" s="711"/>
      <c r="P85" s="711"/>
      <c r="Q85" s="711"/>
      <c r="R85" s="711"/>
      <c r="S85" s="711"/>
      <c r="T85" s="711"/>
      <c r="U85" s="247" t="s">
        <v>68</v>
      </c>
      <c r="V85" s="714">
        <f>U83/2</f>
        <v>45000</v>
      </c>
      <c r="W85" s="714"/>
      <c r="X85" s="714"/>
      <c r="Y85" s="28" t="s">
        <v>31</v>
      </c>
      <c r="Z85" s="2" t="s">
        <v>69</v>
      </c>
      <c r="AA85" s="29"/>
      <c r="AB85" s="229"/>
      <c r="AC85" s="229"/>
      <c r="AD85" s="230"/>
      <c r="AE85" s="715"/>
      <c r="AF85" s="715"/>
      <c r="AG85" s="225"/>
      <c r="AH85" s="147"/>
      <c r="AI85" s="233"/>
      <c r="AJ85" s="526"/>
      <c r="AK85" s="526"/>
      <c r="AL85" s="526"/>
      <c r="AM85" s="243"/>
    </row>
    <row r="86" spans="1:55" ht="9.75" customHeight="1" thickBot="1">
      <c r="A86" s="147"/>
      <c r="B86" s="241"/>
      <c r="C86" s="716" t="s">
        <v>92</v>
      </c>
      <c r="D86" s="717"/>
      <c r="E86" s="697" t="s">
        <v>93</v>
      </c>
      <c r="F86" s="698"/>
      <c r="G86" s="698"/>
      <c r="H86" s="698"/>
      <c r="I86" s="698"/>
      <c r="J86" s="698"/>
      <c r="K86" s="698"/>
      <c r="L86" s="698"/>
      <c r="M86" s="698"/>
      <c r="N86" s="698"/>
      <c r="O86" s="698"/>
      <c r="P86" s="698"/>
      <c r="Q86" s="698"/>
      <c r="R86" s="698"/>
      <c r="S86" s="698"/>
      <c r="T86" s="699"/>
      <c r="U86" s="1229">
        <v>75000</v>
      </c>
      <c r="V86" s="1230"/>
      <c r="W86" s="1230"/>
      <c r="X86" s="1230"/>
      <c r="Y86" s="1231"/>
      <c r="Z86" s="718" t="s">
        <v>31</v>
      </c>
      <c r="AA86" s="705" t="s">
        <v>38</v>
      </c>
      <c r="AB86" s="229"/>
      <c r="AC86" s="147"/>
      <c r="AD86" s="225"/>
      <c r="AE86" s="244"/>
      <c r="AF86" s="244"/>
      <c r="AG86" s="225"/>
      <c r="AH86" s="147"/>
      <c r="AI86" s="147"/>
      <c r="AJ86" s="526"/>
      <c r="AK86" s="526"/>
      <c r="AL86" s="526"/>
      <c r="AM86" s="243"/>
    </row>
    <row r="87" spans="1:55" ht="9.75" customHeight="1" thickBot="1">
      <c r="A87" s="147"/>
      <c r="B87" s="241"/>
      <c r="C87" s="692"/>
      <c r="D87" s="693"/>
      <c r="E87" s="700"/>
      <c r="F87" s="701"/>
      <c r="G87" s="701"/>
      <c r="H87" s="701"/>
      <c r="I87" s="701"/>
      <c r="J87" s="701"/>
      <c r="K87" s="701"/>
      <c r="L87" s="701"/>
      <c r="M87" s="701"/>
      <c r="N87" s="701"/>
      <c r="O87" s="701"/>
      <c r="P87" s="701"/>
      <c r="Q87" s="701"/>
      <c r="R87" s="701"/>
      <c r="S87" s="701"/>
      <c r="T87" s="702"/>
      <c r="U87" s="1232"/>
      <c r="V87" s="1233"/>
      <c r="W87" s="1233"/>
      <c r="X87" s="1233"/>
      <c r="Y87" s="1234"/>
      <c r="Z87" s="719"/>
      <c r="AA87" s="705"/>
      <c r="AB87" s="706" t="s">
        <v>68</v>
      </c>
      <c r="AC87" s="678">
        <f>IFERROR(U88/U86*100,0)</f>
        <v>82.666666666666671</v>
      </c>
      <c r="AD87" s="679"/>
      <c r="AE87" s="680"/>
      <c r="AF87" s="684" t="s">
        <v>86</v>
      </c>
      <c r="AG87" s="684" t="s">
        <v>69</v>
      </c>
      <c r="AH87" s="685" t="s">
        <v>38</v>
      </c>
      <c r="AI87" s="574" t="str">
        <f>IF(U86=0,"",IF(AND(AC87&gt;=200/3,AC82&lt;=100),"○","×"))</f>
        <v>○</v>
      </c>
      <c r="AJ87" s="526"/>
      <c r="AK87" s="526"/>
      <c r="AL87" s="526"/>
      <c r="AM87" s="686" t="s">
        <v>2161</v>
      </c>
      <c r="AN87" s="687"/>
      <c r="AO87" s="687"/>
      <c r="AP87" s="687"/>
      <c r="AQ87" s="687"/>
      <c r="AR87" s="687"/>
      <c r="AS87" s="687"/>
      <c r="AT87" s="687"/>
      <c r="AU87" s="687"/>
      <c r="AV87" s="687"/>
      <c r="AW87" s="687"/>
      <c r="AX87" s="687"/>
      <c r="AY87" s="687"/>
      <c r="AZ87" s="687"/>
      <c r="BA87" s="687"/>
      <c r="BB87" s="687"/>
      <c r="BC87" s="688"/>
    </row>
    <row r="88" spans="1:55" ht="9.75" customHeight="1" thickBot="1">
      <c r="A88" s="147"/>
      <c r="B88" s="241"/>
      <c r="C88" s="692"/>
      <c r="D88" s="693"/>
      <c r="E88" s="525"/>
      <c r="F88" s="707" t="s">
        <v>2162</v>
      </c>
      <c r="G88" s="708"/>
      <c r="H88" s="708"/>
      <c r="I88" s="708"/>
      <c r="J88" s="708"/>
      <c r="K88" s="708"/>
      <c r="L88" s="708"/>
      <c r="M88" s="708"/>
      <c r="N88" s="708"/>
      <c r="O88" s="708"/>
      <c r="P88" s="708"/>
      <c r="Q88" s="708"/>
      <c r="R88" s="708"/>
      <c r="S88" s="708"/>
      <c r="T88" s="708"/>
      <c r="U88" s="1235">
        <v>62000</v>
      </c>
      <c r="V88" s="1236"/>
      <c r="W88" s="1236"/>
      <c r="X88" s="1236"/>
      <c r="Y88" s="1237"/>
      <c r="Z88" s="720" t="s">
        <v>31</v>
      </c>
      <c r="AA88" s="705" t="s">
        <v>38</v>
      </c>
      <c r="AB88" s="706"/>
      <c r="AC88" s="681"/>
      <c r="AD88" s="682"/>
      <c r="AE88" s="683"/>
      <c r="AF88" s="684"/>
      <c r="AG88" s="684"/>
      <c r="AH88" s="685"/>
      <c r="AI88" s="576"/>
      <c r="AJ88" s="526"/>
      <c r="AK88" s="526"/>
      <c r="AL88" s="526"/>
      <c r="AM88" s="689"/>
      <c r="AN88" s="690"/>
      <c r="AO88" s="690"/>
      <c r="AP88" s="690"/>
      <c r="AQ88" s="690"/>
      <c r="AR88" s="690"/>
      <c r="AS88" s="690"/>
      <c r="AT88" s="690"/>
      <c r="AU88" s="690"/>
      <c r="AV88" s="690"/>
      <c r="AW88" s="690"/>
      <c r="AX88" s="690"/>
      <c r="AY88" s="690"/>
      <c r="AZ88" s="690"/>
      <c r="BA88" s="690"/>
      <c r="BB88" s="690"/>
      <c r="BC88" s="691"/>
    </row>
    <row r="89" spans="1:55" ht="9.75" customHeight="1" thickBot="1">
      <c r="A89" s="147"/>
      <c r="B89" s="241"/>
      <c r="C89" s="694"/>
      <c r="D89" s="693"/>
      <c r="E89" s="248"/>
      <c r="F89" s="709"/>
      <c r="G89" s="657"/>
      <c r="H89" s="657"/>
      <c r="I89" s="657"/>
      <c r="J89" s="657"/>
      <c r="K89" s="657"/>
      <c r="L89" s="657"/>
      <c r="M89" s="657"/>
      <c r="N89" s="657"/>
      <c r="O89" s="657"/>
      <c r="P89" s="657"/>
      <c r="Q89" s="657"/>
      <c r="R89" s="657"/>
      <c r="S89" s="657"/>
      <c r="T89" s="657"/>
      <c r="U89" s="1232"/>
      <c r="V89" s="1233"/>
      <c r="W89" s="1233"/>
      <c r="X89" s="1233"/>
      <c r="Y89" s="1234"/>
      <c r="Z89" s="721"/>
      <c r="AA89" s="705"/>
      <c r="AB89" s="147"/>
      <c r="AC89" s="147"/>
      <c r="AD89" s="147"/>
      <c r="AE89" s="147"/>
      <c r="AF89" s="147"/>
      <c r="AG89" s="147"/>
      <c r="AH89" s="147"/>
      <c r="AI89" s="147"/>
      <c r="AJ89" s="526"/>
      <c r="AK89" s="526"/>
      <c r="AL89" s="526"/>
    </row>
    <row r="90" spans="1:55" ht="16.5" customHeight="1">
      <c r="A90" s="147"/>
      <c r="B90" s="241"/>
      <c r="C90" s="695"/>
      <c r="D90" s="696"/>
      <c r="E90" s="249"/>
      <c r="F90" s="710"/>
      <c r="G90" s="711"/>
      <c r="H90" s="711"/>
      <c r="I90" s="711"/>
      <c r="J90" s="711"/>
      <c r="K90" s="711"/>
      <c r="L90" s="711"/>
      <c r="M90" s="711"/>
      <c r="N90" s="711"/>
      <c r="O90" s="711"/>
      <c r="P90" s="711"/>
      <c r="Q90" s="711"/>
      <c r="R90" s="711"/>
      <c r="S90" s="711"/>
      <c r="T90" s="711"/>
      <c r="U90" s="232" t="s">
        <v>68</v>
      </c>
      <c r="V90" s="654">
        <f>U88/2</f>
        <v>31000</v>
      </c>
      <c r="W90" s="654"/>
      <c r="X90" s="654"/>
      <c r="Y90" s="27" t="s">
        <v>31</v>
      </c>
      <c r="Z90" s="3" t="s">
        <v>69</v>
      </c>
      <c r="AA90" s="29"/>
      <c r="AB90" s="229"/>
      <c r="AC90" s="230"/>
      <c r="AD90" s="715"/>
      <c r="AE90" s="715"/>
      <c r="AF90" s="225"/>
      <c r="AG90" s="147"/>
      <c r="AH90" s="147"/>
      <c r="AI90" s="250"/>
      <c r="AJ90" s="526"/>
      <c r="AK90" s="526"/>
      <c r="AL90" s="526"/>
      <c r="AM90" s="243"/>
    </row>
    <row r="91" spans="1:55" ht="6.75" customHeight="1">
      <c r="A91" s="147"/>
      <c r="B91" s="213" t="s">
        <v>94</v>
      </c>
      <c r="C91" s="213"/>
      <c r="D91" s="213"/>
      <c r="E91" s="213"/>
      <c r="F91" s="526"/>
      <c r="G91" s="211"/>
      <c r="H91" s="211"/>
      <c r="I91" s="211"/>
      <c r="J91" s="211"/>
      <c r="K91" s="211"/>
      <c r="L91" s="211"/>
      <c r="M91" s="25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156"/>
      <c r="AM91" s="157"/>
      <c r="AR91" s="185"/>
    </row>
    <row r="92" spans="1:55" s="254" customFormat="1" ht="21" customHeight="1" thickBot="1">
      <c r="A92" s="252"/>
      <c r="B92" s="731" t="s">
        <v>95</v>
      </c>
      <c r="C92" s="731"/>
      <c r="D92" s="731"/>
      <c r="E92" s="731"/>
      <c r="F92" s="731"/>
      <c r="G92" s="731"/>
      <c r="H92" s="731"/>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252"/>
      <c r="AM92" s="253"/>
    </row>
    <row r="93" spans="1:55" s="157" customFormat="1" ht="14.25" thickBot="1">
      <c r="A93" s="156"/>
      <c r="B93" s="217" t="s">
        <v>96</v>
      </c>
      <c r="C93" s="198"/>
      <c r="D93" s="198"/>
      <c r="E93" s="198"/>
      <c r="F93" s="198"/>
      <c r="G93" s="198"/>
      <c r="H93" s="198"/>
      <c r="I93" s="198"/>
      <c r="J93" s="198"/>
      <c r="K93" s="198"/>
      <c r="L93" s="198"/>
      <c r="M93" s="198"/>
      <c r="N93" s="198"/>
      <c r="O93" s="198"/>
      <c r="P93" s="198"/>
      <c r="Q93" s="198"/>
      <c r="R93" s="255" t="s">
        <v>83</v>
      </c>
      <c r="S93" s="256" t="s">
        <v>97</v>
      </c>
      <c r="T93" s="156"/>
      <c r="U93" s="198"/>
      <c r="V93" s="198"/>
      <c r="W93" s="198"/>
      <c r="X93" s="198"/>
      <c r="Y93" s="198"/>
      <c r="Z93" s="198"/>
      <c r="AA93" s="198"/>
      <c r="AB93" s="198"/>
      <c r="AC93" s="198"/>
      <c r="AD93" s="198"/>
      <c r="AE93" s="198"/>
      <c r="AF93" s="198"/>
      <c r="AG93" s="198"/>
      <c r="AH93" s="198"/>
      <c r="AI93" s="732" t="str">
        <f>IF(SUM('別紙様式6-2 事業所個票１:事業所個票10'!CI4)&gt;=1,"該当","")</f>
        <v>該当</v>
      </c>
      <c r="AJ93" s="733"/>
      <c r="AK93" s="734"/>
      <c r="AL93" s="156"/>
      <c r="AM93" s="149"/>
    </row>
    <row r="94" spans="1:55" s="157" customFormat="1" ht="2.25" customHeight="1" thickBot="1">
      <c r="A94" s="156"/>
      <c r="B94" s="156"/>
      <c r="C94" s="156"/>
      <c r="D94" s="257"/>
      <c r="E94" s="257"/>
      <c r="F94" s="257"/>
      <c r="G94" s="257"/>
      <c r="H94" s="257"/>
      <c r="I94" s="257"/>
      <c r="J94" s="257"/>
      <c r="K94" s="257"/>
      <c r="L94" s="257"/>
      <c r="M94" s="257"/>
      <c r="N94" s="257"/>
      <c r="O94" s="257"/>
      <c r="P94" s="257"/>
      <c r="Q94" s="257"/>
      <c r="R94" s="258"/>
      <c r="S94" s="258"/>
      <c r="T94" s="258"/>
      <c r="U94" s="257"/>
      <c r="V94" s="257"/>
      <c r="W94" s="257"/>
      <c r="X94" s="257"/>
      <c r="Y94" s="257"/>
      <c r="Z94" s="257"/>
      <c r="AA94" s="257"/>
      <c r="AB94" s="257"/>
      <c r="AC94" s="257"/>
      <c r="AD94" s="257"/>
      <c r="AE94" s="257"/>
      <c r="AF94" s="257"/>
      <c r="AG94" s="257"/>
      <c r="AH94" s="257"/>
      <c r="AI94" s="257"/>
      <c r="AJ94" s="257"/>
      <c r="AK94" s="257"/>
      <c r="AL94" s="156"/>
      <c r="AM94" s="149"/>
    </row>
    <row r="95" spans="1:55" s="157" customFormat="1" ht="14.25" thickBot="1">
      <c r="A95" s="156"/>
      <c r="B95" s="217" t="s">
        <v>98</v>
      </c>
      <c r="C95" s="259"/>
      <c r="D95" s="259"/>
      <c r="E95" s="259"/>
      <c r="F95" s="259"/>
      <c r="G95" s="259"/>
      <c r="H95" s="259"/>
      <c r="I95" s="259"/>
      <c r="J95" s="259"/>
      <c r="K95" s="259"/>
      <c r="L95" s="259"/>
      <c r="M95" s="259"/>
      <c r="N95" s="259"/>
      <c r="O95" s="259"/>
      <c r="P95" s="259"/>
      <c r="Q95" s="259"/>
      <c r="R95" s="255" t="s">
        <v>83</v>
      </c>
      <c r="S95" s="256" t="s">
        <v>99</v>
      </c>
      <c r="T95" s="156"/>
      <c r="U95" s="259"/>
      <c r="V95" s="259"/>
      <c r="W95" s="259"/>
      <c r="X95" s="259"/>
      <c r="Y95" s="259"/>
      <c r="Z95" s="259"/>
      <c r="AA95" s="259"/>
      <c r="AB95" s="259"/>
      <c r="AC95" s="259"/>
      <c r="AD95" s="259"/>
      <c r="AE95" s="259"/>
      <c r="AF95" s="259"/>
      <c r="AG95" s="259"/>
      <c r="AH95" s="259"/>
      <c r="AI95" s="732" t="str">
        <f>IF(SUM('別紙様式6-2 事業所個票１:事業所個票10'!CI4)=0,"該当","")</f>
        <v/>
      </c>
      <c r="AJ95" s="733"/>
      <c r="AK95" s="734"/>
      <c r="AL95" s="156"/>
      <c r="AM95" s="149"/>
    </row>
    <row r="96" spans="1:55" s="157" customFormat="1" ht="5.25" customHeight="1">
      <c r="A96" s="156"/>
      <c r="B96" s="240"/>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156"/>
      <c r="AB96" s="523"/>
      <c r="AC96" s="523"/>
      <c r="AD96" s="523"/>
      <c r="AE96" s="523"/>
      <c r="AF96" s="523"/>
      <c r="AG96" s="523"/>
      <c r="AH96" s="523"/>
      <c r="AI96" s="523"/>
      <c r="AJ96" s="523"/>
      <c r="AK96" s="523"/>
      <c r="AL96" s="156"/>
      <c r="AM96" s="149"/>
    </row>
    <row r="97" spans="1:55" s="234" customFormat="1" ht="12.75" customHeight="1" thickBot="1">
      <c r="A97" s="182"/>
      <c r="B97" s="182"/>
      <c r="C97" s="735" t="s">
        <v>100</v>
      </c>
      <c r="D97" s="735"/>
      <c r="E97" s="735"/>
      <c r="F97" s="735"/>
      <c r="G97" s="735"/>
      <c r="H97" s="735"/>
      <c r="I97" s="735"/>
      <c r="J97" s="735"/>
      <c r="K97" s="735"/>
      <c r="L97" s="735"/>
      <c r="M97" s="735"/>
      <c r="N97" s="735"/>
      <c r="O97" s="735"/>
      <c r="P97" s="735"/>
      <c r="Q97" s="735"/>
      <c r="R97" s="735"/>
      <c r="S97" s="735"/>
      <c r="T97" s="735"/>
      <c r="U97" s="182"/>
      <c r="V97" s="182"/>
      <c r="W97" s="182"/>
      <c r="X97" s="182"/>
      <c r="Y97" s="182"/>
      <c r="Z97" s="182"/>
      <c r="AA97" s="182"/>
      <c r="AB97" s="182"/>
      <c r="AC97" s="182"/>
      <c r="AD97" s="527"/>
      <c r="AE97" s="527"/>
      <c r="AF97" s="527"/>
      <c r="AG97" s="527"/>
      <c r="AH97" s="527"/>
      <c r="AI97" s="527"/>
      <c r="AJ97" s="527"/>
      <c r="AK97" s="527"/>
      <c r="AL97" s="182"/>
      <c r="AM97" s="260"/>
    </row>
    <row r="98" spans="1:55" s="157" customFormat="1" ht="18" customHeight="1" thickBot="1">
      <c r="A98" s="156"/>
      <c r="B98" s="156"/>
      <c r="C98" s="723"/>
      <c r="D98" s="724"/>
      <c r="E98" s="613" t="s">
        <v>101</v>
      </c>
      <c r="F98" s="613"/>
      <c r="G98" s="613"/>
      <c r="H98" s="613"/>
      <c r="I98" s="613"/>
      <c r="J98" s="613"/>
      <c r="K98" s="613"/>
      <c r="L98" s="613"/>
      <c r="M98" s="613"/>
      <c r="N98" s="613"/>
      <c r="O98" s="613"/>
      <c r="P98" s="613"/>
      <c r="Q98" s="613"/>
      <c r="R98" s="736"/>
      <c r="S98" s="261" t="s">
        <v>38</v>
      </c>
      <c r="T98" s="222" t="str">
        <f>IFERROR(IF(AM99=TRUE,"○",IF(AND(AI95="該当",OR(AM107=TRUE,AM108=TRUE)),"","×")),"")</f>
        <v>×</v>
      </c>
      <c r="U98" s="156"/>
      <c r="V98" s="262"/>
      <c r="W98" s="262"/>
      <c r="X98" s="262"/>
      <c r="Y98" s="262"/>
      <c r="Z98" s="262"/>
      <c r="AA98" s="262"/>
      <c r="AB98" s="262"/>
      <c r="AC98" s="262"/>
      <c r="AD98" s="262"/>
      <c r="AE98" s="262"/>
      <c r="AF98" s="262"/>
      <c r="AG98" s="262"/>
      <c r="AH98" s="262"/>
      <c r="AI98" s="262"/>
      <c r="AJ98" s="262"/>
      <c r="AK98" s="262"/>
      <c r="AL98" s="182"/>
      <c r="AM98" s="206" t="s">
        <v>2082</v>
      </c>
    </row>
    <row r="99" spans="1:55" s="157" customFormat="1" ht="16.5" customHeight="1">
      <c r="A99" s="156"/>
      <c r="B99" s="263"/>
      <c r="C99" s="264" t="s">
        <v>102</v>
      </c>
      <c r="D99" s="265" t="s">
        <v>2231</v>
      </c>
      <c r="E99" s="201"/>
      <c r="F99" s="201"/>
      <c r="G99" s="201"/>
      <c r="H99" s="201"/>
      <c r="I99" s="201"/>
      <c r="J99" s="201"/>
      <c r="K99" s="201"/>
      <c r="L99" s="201"/>
      <c r="M99" s="201"/>
      <c r="N99" s="201"/>
      <c r="O99" s="201"/>
      <c r="P99" s="201"/>
      <c r="Q99" s="201"/>
      <c r="R99" s="201"/>
      <c r="S99" s="265"/>
      <c r="T99" s="265"/>
      <c r="U99" s="265"/>
      <c r="V99" s="201"/>
      <c r="W99" s="201"/>
      <c r="X99" s="201"/>
      <c r="Y99" s="201"/>
      <c r="Z99" s="266"/>
      <c r="AA99" s="266"/>
      <c r="AB99" s="266"/>
      <c r="AC99" s="266"/>
      <c r="AD99" s="166"/>
      <c r="AE99" s="166"/>
      <c r="AF99" s="166"/>
      <c r="AG99" s="166"/>
      <c r="AH99" s="198"/>
      <c r="AI99" s="198"/>
      <c r="AJ99" s="198"/>
      <c r="AK99" s="267"/>
      <c r="AL99" s="216"/>
      <c r="AM99" s="521" t="b">
        <v>0</v>
      </c>
      <c r="AN99" s="612" t="s">
        <v>2088</v>
      </c>
      <c r="AO99" s="612"/>
      <c r="AP99" s="612"/>
    </row>
    <row r="100" spans="1:55" s="157" customFormat="1" ht="16.5" customHeight="1">
      <c r="A100" s="156"/>
      <c r="B100" s="263"/>
      <c r="C100" s="268" t="s">
        <v>103</v>
      </c>
      <c r="D100" s="269" t="s">
        <v>104</v>
      </c>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70"/>
      <c r="AA100" s="270"/>
      <c r="AB100" s="270"/>
      <c r="AC100" s="270"/>
      <c r="AD100" s="271"/>
      <c r="AE100" s="271"/>
      <c r="AF100" s="271"/>
      <c r="AG100" s="271"/>
      <c r="AH100" s="272"/>
      <c r="AI100" s="272"/>
      <c r="AJ100" s="272"/>
      <c r="AK100" s="273"/>
      <c r="AL100" s="216"/>
      <c r="AM100" s="521" t="b">
        <v>1</v>
      </c>
      <c r="AN100" s="612" t="s">
        <v>2089</v>
      </c>
      <c r="AO100" s="612"/>
      <c r="AP100" s="612"/>
    </row>
    <row r="101" spans="1:55" s="157" customFormat="1" ht="16.5" customHeight="1">
      <c r="A101" s="156"/>
      <c r="B101" s="263"/>
      <c r="C101" s="274" t="s">
        <v>105</v>
      </c>
      <c r="D101" s="275" t="s">
        <v>2230</v>
      </c>
      <c r="E101" s="276"/>
      <c r="F101" s="276"/>
      <c r="G101" s="276"/>
      <c r="H101" s="276"/>
      <c r="I101" s="276"/>
      <c r="J101" s="276"/>
      <c r="K101" s="276"/>
      <c r="L101" s="276"/>
      <c r="M101" s="276"/>
      <c r="N101" s="276"/>
      <c r="O101" s="276"/>
      <c r="P101" s="276"/>
      <c r="Q101" s="276"/>
      <c r="R101" s="276"/>
      <c r="S101" s="276"/>
      <c r="T101" s="276"/>
      <c r="U101" s="276"/>
      <c r="V101" s="276"/>
      <c r="W101" s="276"/>
      <c r="X101" s="276"/>
      <c r="Y101" s="276"/>
      <c r="Z101" s="277"/>
      <c r="AA101" s="277"/>
      <c r="AB101" s="277"/>
      <c r="AC101" s="277"/>
      <c r="AD101" s="194"/>
      <c r="AE101" s="194"/>
      <c r="AF101" s="194"/>
      <c r="AG101" s="194"/>
      <c r="AH101" s="278"/>
      <c r="AI101" s="278"/>
      <c r="AJ101" s="278"/>
      <c r="AK101" s="279"/>
      <c r="AL101" s="216"/>
      <c r="AM101" s="280"/>
    </row>
    <row r="102" spans="1:55" s="157" customFormat="1" ht="6.75" customHeight="1" thickBot="1">
      <c r="A102" s="156"/>
      <c r="B102" s="263"/>
      <c r="C102" s="205"/>
      <c r="D102" s="201"/>
      <c r="E102" s="213"/>
      <c r="F102" s="213"/>
      <c r="G102" s="213"/>
      <c r="H102" s="213"/>
      <c r="I102" s="213"/>
      <c r="J102" s="213"/>
      <c r="K102" s="213"/>
      <c r="L102" s="213"/>
      <c r="M102" s="213"/>
      <c r="N102" s="213"/>
      <c r="O102" s="213"/>
      <c r="P102" s="213"/>
      <c r="Q102" s="213"/>
      <c r="R102" s="213"/>
      <c r="S102" s="213"/>
      <c r="T102" s="213"/>
      <c r="U102" s="213"/>
      <c r="V102" s="213"/>
      <c r="W102" s="213"/>
      <c r="X102" s="213"/>
      <c r="Y102" s="213"/>
      <c r="Z102" s="266"/>
      <c r="AA102" s="266"/>
      <c r="AB102" s="266"/>
      <c r="AC102" s="266"/>
      <c r="AD102" s="166"/>
      <c r="AE102" s="166"/>
      <c r="AF102" s="166"/>
      <c r="AG102" s="166"/>
      <c r="AH102" s="198"/>
      <c r="AI102" s="198"/>
      <c r="AJ102" s="198"/>
      <c r="AK102" s="198"/>
      <c r="AL102" s="216"/>
      <c r="AM102" s="280"/>
      <c r="AN102" s="149"/>
      <c r="AO102" s="149"/>
      <c r="AP102" s="149"/>
      <c r="AQ102" s="149"/>
    </row>
    <row r="103" spans="1:55" s="157" customFormat="1" ht="26.25" customHeight="1" thickBot="1">
      <c r="A103" s="156"/>
      <c r="B103" s="263"/>
      <c r="C103" s="722" t="s">
        <v>106</v>
      </c>
      <c r="D103" s="722"/>
      <c r="E103" s="722"/>
      <c r="F103" s="722"/>
      <c r="G103" s="722"/>
      <c r="H103" s="722"/>
      <c r="I103" s="722"/>
      <c r="J103" s="722"/>
      <c r="K103" s="722"/>
      <c r="L103" s="213"/>
      <c r="M103" s="723"/>
      <c r="N103" s="724"/>
      <c r="O103" s="725" t="s">
        <v>2235</v>
      </c>
      <c r="P103" s="726"/>
      <c r="Q103" s="726"/>
      <c r="R103" s="726"/>
      <c r="S103" s="726"/>
      <c r="T103" s="726"/>
      <c r="U103" s="726"/>
      <c r="V103" s="726"/>
      <c r="W103" s="726"/>
      <c r="X103" s="726"/>
      <c r="Y103" s="726"/>
      <c r="Z103" s="726"/>
      <c r="AA103" s="726"/>
      <c r="AB103" s="726"/>
      <c r="AC103" s="726"/>
      <c r="AD103" s="726"/>
      <c r="AE103" s="726"/>
      <c r="AF103" s="726"/>
      <c r="AG103" s="726"/>
      <c r="AH103" s="726"/>
      <c r="AI103" s="726"/>
      <c r="AJ103" s="727"/>
      <c r="AK103" s="175" t="str">
        <f>IF(T98="○","",(IF(AM100=TRUE,"○","×")))</f>
        <v>○</v>
      </c>
      <c r="AL103" s="156"/>
      <c r="AM103" s="728" t="s">
        <v>2011</v>
      </c>
      <c r="AN103" s="729"/>
      <c r="AO103" s="729"/>
      <c r="AP103" s="729"/>
      <c r="AQ103" s="729"/>
      <c r="AR103" s="729"/>
      <c r="AS103" s="729"/>
      <c r="AT103" s="729"/>
      <c r="AU103" s="729"/>
      <c r="AV103" s="729"/>
      <c r="AW103" s="729"/>
      <c r="AX103" s="729"/>
      <c r="AY103" s="729"/>
      <c r="AZ103" s="729"/>
      <c r="BA103" s="729"/>
      <c r="BB103" s="729"/>
      <c r="BC103" s="730"/>
    </row>
    <row r="104" spans="1:55" s="157" customFormat="1" ht="6.75" customHeight="1">
      <c r="A104" s="156"/>
      <c r="B104" s="263"/>
      <c r="C104" s="526"/>
      <c r="D104" s="201"/>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66"/>
      <c r="AA104" s="266"/>
      <c r="AB104" s="266"/>
      <c r="AC104" s="266"/>
      <c r="AD104" s="166"/>
      <c r="AE104" s="166"/>
      <c r="AF104" s="166"/>
      <c r="AG104" s="166"/>
      <c r="AH104" s="198"/>
      <c r="AI104" s="198"/>
      <c r="AJ104" s="198"/>
      <c r="AK104" s="198"/>
      <c r="AL104" s="216"/>
      <c r="AM104" s="280"/>
      <c r="AN104" s="149"/>
      <c r="AO104" s="149"/>
      <c r="AP104" s="149"/>
      <c r="AQ104" s="149"/>
    </row>
    <row r="105" spans="1:55" s="157" customFormat="1" ht="16.5" customHeight="1" thickBot="1">
      <c r="A105" s="156"/>
      <c r="B105" s="156"/>
      <c r="C105" s="735" t="s">
        <v>107</v>
      </c>
      <c r="D105" s="735"/>
      <c r="E105" s="735"/>
      <c r="F105" s="735"/>
      <c r="G105" s="735"/>
      <c r="H105" s="735"/>
      <c r="I105" s="735"/>
      <c r="J105" s="735"/>
      <c r="K105" s="735"/>
      <c r="L105" s="735"/>
      <c r="M105" s="735"/>
      <c r="N105" s="735"/>
      <c r="O105" s="735"/>
      <c r="P105" s="735"/>
      <c r="Q105" s="735"/>
      <c r="R105" s="735"/>
      <c r="S105" s="281"/>
      <c r="T105" s="281"/>
      <c r="U105" s="281"/>
      <c r="V105" s="281"/>
      <c r="W105" s="281"/>
      <c r="X105" s="281"/>
      <c r="Y105" s="213"/>
      <c r="Z105" s="281"/>
      <c r="AA105" s="281"/>
      <c r="AB105" s="281"/>
      <c r="AC105" s="281"/>
      <c r="AD105" s="281"/>
      <c r="AE105" s="281"/>
      <c r="AF105" s="281"/>
      <c r="AG105" s="281"/>
      <c r="AH105" s="281"/>
      <c r="AI105" s="281"/>
      <c r="AJ105" s="281"/>
      <c r="AK105" s="281"/>
      <c r="AL105" s="281"/>
    </row>
    <row r="106" spans="1:55" s="157" customFormat="1" ht="16.5" customHeight="1" thickBot="1">
      <c r="A106" s="156"/>
      <c r="B106" s="522"/>
      <c r="C106" s="723"/>
      <c r="D106" s="724"/>
      <c r="E106" s="613" t="s">
        <v>108</v>
      </c>
      <c r="F106" s="613"/>
      <c r="G106" s="613"/>
      <c r="H106" s="613"/>
      <c r="I106" s="613"/>
      <c r="J106" s="613"/>
      <c r="K106" s="613"/>
      <c r="L106" s="613"/>
      <c r="M106" s="613"/>
      <c r="N106" s="613"/>
      <c r="O106" s="613"/>
      <c r="P106" s="613"/>
      <c r="Q106" s="613"/>
      <c r="R106" s="736"/>
      <c r="S106" s="261" t="s">
        <v>38</v>
      </c>
      <c r="T106" s="222" t="str">
        <f>IFERROR(IF(AND(AM107=TRUE,OR(AND(AR107=TRUE,J109&lt;&gt;""),AND(AR108=TRUE,J111&lt;&gt;""))),"○",IF(AND(AI95="該当",OR(AM99=TRUE,AM100=TRUE)),"","×")),"")</f>
        <v>×</v>
      </c>
      <c r="U106" s="282"/>
      <c r="V106" s="283"/>
      <c r="W106" s="283"/>
      <c r="X106" s="283"/>
      <c r="Y106" s="283"/>
      <c r="Z106" s="283"/>
      <c r="AA106" s="283"/>
      <c r="AB106" s="283"/>
      <c r="AC106" s="283"/>
      <c r="AD106" s="283"/>
      <c r="AE106" s="283"/>
      <c r="AF106" s="283"/>
      <c r="AG106" s="283"/>
      <c r="AH106" s="283"/>
      <c r="AI106" s="283"/>
      <c r="AJ106" s="283"/>
      <c r="AK106" s="283"/>
      <c r="AL106" s="281"/>
      <c r="AM106" s="206" t="s">
        <v>2082</v>
      </c>
    </row>
    <row r="107" spans="1:55" s="157" customFormat="1" ht="26.25" customHeight="1" thickBot="1">
      <c r="A107" s="156"/>
      <c r="B107" s="737"/>
      <c r="C107" s="264" t="s">
        <v>102</v>
      </c>
      <c r="D107" s="738" t="s">
        <v>2209</v>
      </c>
      <c r="E107" s="739"/>
      <c r="F107" s="739"/>
      <c r="G107" s="739"/>
      <c r="H107" s="649"/>
      <c r="I107" s="649"/>
      <c r="J107" s="649"/>
      <c r="K107" s="649"/>
      <c r="L107" s="649"/>
      <c r="M107" s="649"/>
      <c r="N107" s="649"/>
      <c r="O107" s="649"/>
      <c r="P107" s="649"/>
      <c r="Q107" s="649"/>
      <c r="R107" s="649"/>
      <c r="S107" s="649"/>
      <c r="T107" s="649"/>
      <c r="U107" s="649"/>
      <c r="V107" s="649"/>
      <c r="W107" s="649"/>
      <c r="X107" s="649"/>
      <c r="Y107" s="649"/>
      <c r="Z107" s="649"/>
      <c r="AA107" s="649"/>
      <c r="AB107" s="649"/>
      <c r="AC107" s="649"/>
      <c r="AD107" s="649"/>
      <c r="AE107" s="649"/>
      <c r="AF107" s="649"/>
      <c r="AG107" s="649"/>
      <c r="AH107" s="649"/>
      <c r="AI107" s="649"/>
      <c r="AJ107" s="649"/>
      <c r="AK107" s="740"/>
      <c r="AL107" s="156"/>
      <c r="AM107" s="521" t="b">
        <v>0</v>
      </c>
      <c r="AN107" s="612" t="s">
        <v>2088</v>
      </c>
      <c r="AO107" s="612"/>
      <c r="AP107" s="612"/>
      <c r="AQ107" s="149"/>
      <c r="AR107" s="521" t="b">
        <v>0</v>
      </c>
      <c r="AS107" s="612" t="s">
        <v>2090</v>
      </c>
      <c r="AT107" s="612"/>
      <c r="AU107" s="612"/>
    </row>
    <row r="108" spans="1:55" s="157" customFormat="1" ht="25.5" customHeight="1" thickBot="1">
      <c r="A108" s="156"/>
      <c r="B108" s="737"/>
      <c r="C108" s="752"/>
      <c r="D108" s="754" t="s">
        <v>109</v>
      </c>
      <c r="E108" s="755"/>
      <c r="F108" s="755"/>
      <c r="G108" s="755"/>
      <c r="H108" s="760"/>
      <c r="I108" s="762" t="s">
        <v>32</v>
      </c>
      <c r="J108" s="764" t="s">
        <v>2229</v>
      </c>
      <c r="K108" s="765"/>
      <c r="L108" s="765"/>
      <c r="M108" s="765"/>
      <c r="N108" s="765"/>
      <c r="O108" s="765"/>
      <c r="P108" s="765"/>
      <c r="Q108" s="765"/>
      <c r="R108" s="765"/>
      <c r="S108" s="765"/>
      <c r="T108" s="765"/>
      <c r="U108" s="765"/>
      <c r="V108" s="765"/>
      <c r="W108" s="765"/>
      <c r="X108" s="765"/>
      <c r="Y108" s="765"/>
      <c r="Z108" s="765"/>
      <c r="AA108" s="765"/>
      <c r="AB108" s="765"/>
      <c r="AC108" s="765"/>
      <c r="AD108" s="765"/>
      <c r="AE108" s="765"/>
      <c r="AF108" s="765"/>
      <c r="AG108" s="765"/>
      <c r="AH108" s="765"/>
      <c r="AI108" s="765"/>
      <c r="AJ108" s="765"/>
      <c r="AK108" s="766"/>
      <c r="AL108" s="156"/>
      <c r="AM108" s="521" t="b">
        <v>1</v>
      </c>
      <c r="AN108" s="612" t="s">
        <v>2089</v>
      </c>
      <c r="AO108" s="612"/>
      <c r="AP108" s="612"/>
      <c r="AQ108" s="284"/>
      <c r="AR108" s="521" t="b">
        <v>0</v>
      </c>
      <c r="AS108" s="612" t="s">
        <v>2091</v>
      </c>
      <c r="AT108" s="612"/>
      <c r="AU108" s="612"/>
      <c r="AV108" s="284"/>
      <c r="AW108" s="284"/>
      <c r="AX108" s="284"/>
      <c r="AY108" s="284"/>
      <c r="AZ108" s="284"/>
      <c r="BA108" s="284"/>
      <c r="BB108" s="284"/>
      <c r="BC108" s="284"/>
    </row>
    <row r="109" spans="1:55" s="157" customFormat="1" ht="33" customHeight="1" thickBot="1">
      <c r="A109" s="156"/>
      <c r="B109" s="737"/>
      <c r="C109" s="752"/>
      <c r="D109" s="756"/>
      <c r="E109" s="757"/>
      <c r="F109" s="757"/>
      <c r="G109" s="757"/>
      <c r="H109" s="761"/>
      <c r="I109" s="763"/>
      <c r="J109" s="1238" t="s">
        <v>2357</v>
      </c>
      <c r="K109" s="1239"/>
      <c r="L109" s="1239"/>
      <c r="M109" s="1239"/>
      <c r="N109" s="1239"/>
      <c r="O109" s="1239"/>
      <c r="P109" s="1239"/>
      <c r="Q109" s="1239"/>
      <c r="R109" s="1239"/>
      <c r="S109" s="1239"/>
      <c r="T109" s="1239"/>
      <c r="U109" s="1239"/>
      <c r="V109" s="1239"/>
      <c r="W109" s="1239"/>
      <c r="X109" s="1239"/>
      <c r="Y109" s="1239"/>
      <c r="Z109" s="1239"/>
      <c r="AA109" s="1239"/>
      <c r="AB109" s="1239"/>
      <c r="AC109" s="1239"/>
      <c r="AD109" s="1239"/>
      <c r="AE109" s="1239"/>
      <c r="AF109" s="1239"/>
      <c r="AG109" s="1239"/>
      <c r="AH109" s="1239"/>
      <c r="AI109" s="1239"/>
      <c r="AJ109" s="1239"/>
      <c r="AK109" s="1240"/>
      <c r="AL109" s="156"/>
      <c r="AM109" s="728" t="s">
        <v>2163</v>
      </c>
      <c r="AN109" s="747"/>
      <c r="AO109" s="747"/>
      <c r="AP109" s="747"/>
      <c r="AQ109" s="747"/>
      <c r="AR109" s="747"/>
      <c r="AS109" s="747"/>
      <c r="AT109" s="747"/>
      <c r="AU109" s="747"/>
      <c r="AV109" s="747"/>
      <c r="AW109" s="747"/>
      <c r="AX109" s="747"/>
      <c r="AY109" s="747"/>
      <c r="AZ109" s="747"/>
      <c r="BA109" s="747"/>
      <c r="BB109" s="747"/>
      <c r="BC109" s="748"/>
    </row>
    <row r="110" spans="1:55" s="157" customFormat="1" ht="19.5" customHeight="1" thickBot="1">
      <c r="A110" s="156"/>
      <c r="B110" s="737"/>
      <c r="C110" s="752"/>
      <c r="D110" s="756"/>
      <c r="E110" s="757"/>
      <c r="F110" s="757"/>
      <c r="G110" s="757"/>
      <c r="H110" s="741"/>
      <c r="I110" s="743" t="s">
        <v>39</v>
      </c>
      <c r="J110" s="285" t="s">
        <v>110</v>
      </c>
      <c r="K110" s="286"/>
      <c r="L110" s="286"/>
      <c r="M110" s="286"/>
      <c r="N110" s="286"/>
      <c r="O110" s="286"/>
      <c r="P110" s="286"/>
      <c r="Q110" s="286"/>
      <c r="R110" s="286"/>
      <c r="S110" s="745" t="s">
        <v>111</v>
      </c>
      <c r="T110" s="745"/>
      <c r="U110" s="745"/>
      <c r="V110" s="745"/>
      <c r="W110" s="745"/>
      <c r="X110" s="745"/>
      <c r="Y110" s="745"/>
      <c r="Z110" s="745"/>
      <c r="AA110" s="745"/>
      <c r="AB110" s="745"/>
      <c r="AC110" s="745"/>
      <c r="AD110" s="745"/>
      <c r="AE110" s="745"/>
      <c r="AF110" s="745"/>
      <c r="AG110" s="745"/>
      <c r="AH110" s="745"/>
      <c r="AI110" s="745"/>
      <c r="AJ110" s="745"/>
      <c r="AK110" s="746"/>
      <c r="AL110" s="156"/>
      <c r="AM110" s="284"/>
      <c r="AN110" s="284"/>
      <c r="AO110" s="284"/>
      <c r="AP110" s="284"/>
      <c r="AQ110" s="284"/>
      <c r="AR110" s="284"/>
      <c r="AS110" s="284"/>
      <c r="AT110" s="284"/>
      <c r="AU110" s="284"/>
      <c r="AV110" s="284"/>
      <c r="AW110" s="284"/>
      <c r="AX110" s="284"/>
      <c r="AY110" s="284"/>
      <c r="AZ110" s="284"/>
      <c r="BA110" s="284"/>
      <c r="BB110" s="284"/>
      <c r="BC110" s="284"/>
    </row>
    <row r="111" spans="1:55" s="157" customFormat="1" ht="35.25" customHeight="1" thickBot="1">
      <c r="A111" s="156"/>
      <c r="B111" s="737"/>
      <c r="C111" s="753"/>
      <c r="D111" s="758"/>
      <c r="E111" s="759"/>
      <c r="F111" s="759"/>
      <c r="G111" s="759"/>
      <c r="H111" s="742"/>
      <c r="I111" s="744"/>
      <c r="J111" s="1241" t="s">
        <v>2358</v>
      </c>
      <c r="K111" s="1242"/>
      <c r="L111" s="1242"/>
      <c r="M111" s="1242"/>
      <c r="N111" s="1242"/>
      <c r="O111" s="1242"/>
      <c r="P111" s="1242"/>
      <c r="Q111" s="1242"/>
      <c r="R111" s="1242"/>
      <c r="S111" s="1242"/>
      <c r="T111" s="1242"/>
      <c r="U111" s="1242"/>
      <c r="V111" s="1242"/>
      <c r="W111" s="1242"/>
      <c r="X111" s="1242"/>
      <c r="Y111" s="1242"/>
      <c r="Z111" s="1242"/>
      <c r="AA111" s="1242"/>
      <c r="AB111" s="1242"/>
      <c r="AC111" s="1242"/>
      <c r="AD111" s="1242"/>
      <c r="AE111" s="1242"/>
      <c r="AF111" s="1242"/>
      <c r="AG111" s="1242"/>
      <c r="AH111" s="1242"/>
      <c r="AI111" s="1242"/>
      <c r="AJ111" s="1242"/>
      <c r="AK111" s="1243"/>
      <c r="AL111" s="156"/>
      <c r="AM111" s="728" t="s">
        <v>2164</v>
      </c>
      <c r="AN111" s="747"/>
      <c r="AO111" s="747"/>
      <c r="AP111" s="747"/>
      <c r="AQ111" s="747"/>
      <c r="AR111" s="747"/>
      <c r="AS111" s="747"/>
      <c r="AT111" s="747"/>
      <c r="AU111" s="747"/>
      <c r="AV111" s="747"/>
      <c r="AW111" s="747"/>
      <c r="AX111" s="747"/>
      <c r="AY111" s="747"/>
      <c r="AZ111" s="747"/>
      <c r="BA111" s="747"/>
      <c r="BB111" s="747"/>
      <c r="BC111" s="748"/>
    </row>
    <row r="112" spans="1:55" s="157" customFormat="1" ht="18" customHeight="1">
      <c r="A112" s="156"/>
      <c r="B112" s="287"/>
      <c r="C112" s="288" t="s">
        <v>103</v>
      </c>
      <c r="D112" s="275" t="s">
        <v>2210</v>
      </c>
      <c r="E112" s="289"/>
      <c r="F112" s="289"/>
      <c r="G112" s="289"/>
      <c r="H112" s="276"/>
      <c r="I112" s="276"/>
      <c r="J112" s="276"/>
      <c r="K112" s="276"/>
      <c r="L112" s="276"/>
      <c r="M112" s="276"/>
      <c r="N112" s="276"/>
      <c r="O112" s="276"/>
      <c r="P112" s="276"/>
      <c r="Q112" s="276"/>
      <c r="R112" s="276"/>
      <c r="S112" s="276"/>
      <c r="T112" s="276"/>
      <c r="U112" s="276"/>
      <c r="V112" s="276"/>
      <c r="W112" s="276"/>
      <c r="X112" s="276"/>
      <c r="Y112" s="276"/>
      <c r="Z112" s="277"/>
      <c r="AA112" s="277"/>
      <c r="AB112" s="277"/>
      <c r="AC112" s="277"/>
      <c r="AD112" s="194"/>
      <c r="AE112" s="194"/>
      <c r="AF112" s="194"/>
      <c r="AG112" s="194"/>
      <c r="AH112" s="278"/>
      <c r="AI112" s="278"/>
      <c r="AJ112" s="278"/>
      <c r="AK112" s="290"/>
      <c r="AL112" s="216"/>
      <c r="AM112" s="280"/>
    </row>
    <row r="113" spans="1:55" s="157" customFormat="1" ht="6.75" customHeight="1" thickBot="1">
      <c r="A113" s="156"/>
      <c r="B113" s="291"/>
      <c r="C113" s="291"/>
      <c r="D113" s="291"/>
      <c r="E113" s="291"/>
      <c r="F113" s="291"/>
      <c r="G113" s="291"/>
      <c r="H113" s="291"/>
      <c r="I113" s="291"/>
      <c r="J113" s="291"/>
      <c r="K113" s="29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1"/>
      <c r="AL113" s="156"/>
      <c r="AM113" s="292"/>
    </row>
    <row r="114" spans="1:55" s="157" customFormat="1" ht="25.5" customHeight="1" thickBot="1">
      <c r="A114" s="156"/>
      <c r="B114" s="263"/>
      <c r="C114" s="722" t="s">
        <v>2165</v>
      </c>
      <c r="D114" s="722"/>
      <c r="E114" s="722"/>
      <c r="F114" s="722"/>
      <c r="G114" s="722"/>
      <c r="H114" s="722"/>
      <c r="I114" s="722"/>
      <c r="J114" s="722"/>
      <c r="K114" s="722"/>
      <c r="L114" s="213"/>
      <c r="M114" s="723"/>
      <c r="N114" s="724"/>
      <c r="O114" s="749" t="s">
        <v>112</v>
      </c>
      <c r="P114" s="750"/>
      <c r="Q114" s="750"/>
      <c r="R114" s="750"/>
      <c r="S114" s="750"/>
      <c r="T114" s="750"/>
      <c r="U114" s="750"/>
      <c r="V114" s="750"/>
      <c r="W114" s="750"/>
      <c r="X114" s="750"/>
      <c r="Y114" s="750"/>
      <c r="Z114" s="750"/>
      <c r="AA114" s="750"/>
      <c r="AB114" s="750"/>
      <c r="AC114" s="750"/>
      <c r="AD114" s="750"/>
      <c r="AE114" s="750"/>
      <c r="AF114" s="750"/>
      <c r="AG114" s="750"/>
      <c r="AH114" s="750"/>
      <c r="AI114" s="750"/>
      <c r="AJ114" s="751"/>
      <c r="AK114" s="175" t="str">
        <f>IF(T106="○","",(IF(AM108=TRUE,"○","×")))</f>
        <v>○</v>
      </c>
      <c r="AL114" s="156"/>
      <c r="AM114" s="728" t="s">
        <v>2012</v>
      </c>
      <c r="AN114" s="729"/>
      <c r="AO114" s="729"/>
      <c r="AP114" s="729"/>
      <c r="AQ114" s="729"/>
      <c r="AR114" s="729"/>
      <c r="AS114" s="729"/>
      <c r="AT114" s="729"/>
      <c r="AU114" s="729"/>
      <c r="AV114" s="729"/>
      <c r="AW114" s="729"/>
      <c r="AX114" s="729"/>
      <c r="AY114" s="729"/>
      <c r="AZ114" s="729"/>
      <c r="BA114" s="729"/>
      <c r="BB114" s="729"/>
      <c r="BC114" s="730"/>
    </row>
    <row r="115" spans="1:55" s="157" customFormat="1" ht="12" customHeight="1">
      <c r="A115" s="156"/>
      <c r="B115" s="291"/>
      <c r="C115" s="291"/>
      <c r="D115" s="291"/>
      <c r="E115" s="291"/>
      <c r="F115" s="291"/>
      <c r="G115" s="291"/>
      <c r="H115" s="291"/>
      <c r="I115" s="291"/>
      <c r="J115" s="291"/>
      <c r="K115" s="29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1"/>
      <c r="AL115" s="156"/>
      <c r="AM115" s="292"/>
    </row>
    <row r="116" spans="1:55" s="157" customFormat="1" ht="21" customHeight="1">
      <c r="A116" s="156"/>
      <c r="B116" s="731" t="s">
        <v>113</v>
      </c>
      <c r="C116" s="731"/>
      <c r="D116" s="731"/>
      <c r="E116" s="731"/>
      <c r="F116" s="731"/>
      <c r="G116" s="731"/>
      <c r="H116" s="731"/>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156"/>
      <c r="AM116" s="293" t="str">
        <f>IF(SUM('別紙様式6-2 事業所個票１:事業所個票10'!CI5)&gt;=1,"該当","")</f>
        <v>該当</v>
      </c>
    </row>
    <row r="117" spans="1:55" s="157" customFormat="1" ht="17.25" customHeight="1" thickBot="1">
      <c r="A117" s="156"/>
      <c r="B117" s="294" t="s">
        <v>114</v>
      </c>
      <c r="C117" s="295"/>
      <c r="D117" s="296"/>
      <c r="E117" s="295"/>
      <c r="F117" s="295"/>
      <c r="G117" s="295"/>
      <c r="H117" s="295"/>
      <c r="I117" s="295"/>
      <c r="J117" s="295"/>
      <c r="K117" s="295"/>
      <c r="L117" s="295"/>
      <c r="M117" s="295"/>
      <c r="N117" s="295"/>
      <c r="O117" s="295"/>
      <c r="P117" s="295"/>
      <c r="Q117" s="295"/>
      <c r="R117" s="295"/>
      <c r="S117" s="295"/>
      <c r="T117" s="295"/>
      <c r="U117" s="295"/>
      <c r="V117" s="295"/>
      <c r="W117" s="295"/>
      <c r="X117" s="295"/>
      <c r="Y117" s="295"/>
      <c r="Z117" s="295"/>
      <c r="AA117" s="295"/>
      <c r="AB117" s="295"/>
      <c r="AC117" s="295"/>
      <c r="AD117" s="295"/>
      <c r="AE117" s="295"/>
      <c r="AF117" s="295"/>
      <c r="AG117" s="295"/>
      <c r="AH117" s="295"/>
      <c r="AI117" s="295"/>
      <c r="AJ117" s="295"/>
      <c r="AK117" s="295"/>
      <c r="AL117" s="295"/>
      <c r="AM117" s="206" t="s">
        <v>2082</v>
      </c>
      <c r="AR117" s="521" t="b">
        <v>1</v>
      </c>
      <c r="AS117" s="612" t="s">
        <v>2090</v>
      </c>
      <c r="AT117" s="612"/>
      <c r="AU117" s="612"/>
    </row>
    <row r="118" spans="1:55" s="157" customFormat="1" ht="20.25" customHeight="1" thickBot="1">
      <c r="A118" s="156"/>
      <c r="B118" s="723"/>
      <c r="C118" s="724"/>
      <c r="D118" s="783" t="s">
        <v>108</v>
      </c>
      <c r="E118" s="783"/>
      <c r="F118" s="783"/>
      <c r="G118" s="783"/>
      <c r="H118" s="783"/>
      <c r="I118" s="783"/>
      <c r="J118" s="783"/>
      <c r="K118" s="783"/>
      <c r="L118" s="783"/>
      <c r="M118" s="783"/>
      <c r="N118" s="783"/>
      <c r="O118" s="783"/>
      <c r="P118" s="783"/>
      <c r="Q118" s="784"/>
      <c r="R118" s="297" t="s">
        <v>38</v>
      </c>
      <c r="S118" s="222" t="str">
        <f>IF(AM116="","",IF(AND(AM118=TRUE,OR(AR117=TRUE,AR118=TRUE,AR119=TRUE)),"○","×"))</f>
        <v>○</v>
      </c>
      <c r="T118" s="298"/>
      <c r="U118" s="295"/>
      <c r="V118" s="295"/>
      <c r="W118" s="295"/>
      <c r="X118" s="295"/>
      <c r="Y118" s="295"/>
      <c r="Z118" s="295"/>
      <c r="AA118" s="295"/>
      <c r="AB118" s="295"/>
      <c r="AC118" s="295"/>
      <c r="AD118" s="295"/>
      <c r="AE118" s="295"/>
      <c r="AF118" s="295"/>
      <c r="AG118" s="295"/>
      <c r="AH118" s="295"/>
      <c r="AI118" s="295"/>
      <c r="AJ118" s="295"/>
      <c r="AK118" s="295"/>
      <c r="AL118" s="295"/>
      <c r="AM118" s="521" t="b">
        <v>1</v>
      </c>
      <c r="AN118" s="612" t="s">
        <v>2088</v>
      </c>
      <c r="AO118" s="612"/>
      <c r="AP118" s="612"/>
      <c r="AR118" s="521" t="b">
        <v>0</v>
      </c>
      <c r="AS118" s="612" t="s">
        <v>2091</v>
      </c>
      <c r="AT118" s="612"/>
      <c r="AU118" s="612"/>
    </row>
    <row r="119" spans="1:55" s="157" customFormat="1" ht="28.5" customHeight="1" thickBot="1">
      <c r="A119" s="156"/>
      <c r="B119" s="264" t="s">
        <v>102</v>
      </c>
      <c r="C119" s="785" t="s">
        <v>2211</v>
      </c>
      <c r="D119" s="786"/>
      <c r="E119" s="786"/>
      <c r="F119" s="786"/>
      <c r="G119" s="786"/>
      <c r="H119" s="786"/>
      <c r="I119" s="786"/>
      <c r="J119" s="786"/>
      <c r="K119" s="786"/>
      <c r="L119" s="786"/>
      <c r="M119" s="786"/>
      <c r="N119" s="786"/>
      <c r="O119" s="786"/>
      <c r="P119" s="786"/>
      <c r="Q119" s="786"/>
      <c r="R119" s="786"/>
      <c r="S119" s="787"/>
      <c r="T119" s="786"/>
      <c r="U119" s="786"/>
      <c r="V119" s="786"/>
      <c r="W119" s="786"/>
      <c r="X119" s="786"/>
      <c r="Y119" s="786"/>
      <c r="Z119" s="786"/>
      <c r="AA119" s="786"/>
      <c r="AB119" s="786"/>
      <c r="AC119" s="786"/>
      <c r="AD119" s="786"/>
      <c r="AE119" s="786"/>
      <c r="AF119" s="786"/>
      <c r="AG119" s="786"/>
      <c r="AH119" s="786"/>
      <c r="AI119" s="786"/>
      <c r="AJ119" s="786"/>
      <c r="AK119" s="788"/>
      <c r="AL119" s="156"/>
      <c r="AM119" s="521" t="b">
        <v>0</v>
      </c>
      <c r="AN119" s="612" t="s">
        <v>2089</v>
      </c>
      <c r="AO119" s="612"/>
      <c r="AP119" s="612"/>
      <c r="AR119" s="521" t="b">
        <v>0</v>
      </c>
      <c r="AS119" s="612" t="s">
        <v>2092</v>
      </c>
      <c r="AT119" s="612"/>
      <c r="AU119" s="612"/>
    </row>
    <row r="120" spans="1:55" s="157" customFormat="1" ht="25.5" customHeight="1">
      <c r="A120" s="156"/>
      <c r="B120" s="752"/>
      <c r="C120" s="754" t="s">
        <v>115</v>
      </c>
      <c r="D120" s="755"/>
      <c r="E120" s="755"/>
      <c r="F120" s="755"/>
      <c r="G120" s="299"/>
      <c r="H120" s="300" t="s">
        <v>32</v>
      </c>
      <c r="I120" s="767" t="s">
        <v>116</v>
      </c>
      <c r="J120" s="768"/>
      <c r="K120" s="768"/>
      <c r="L120" s="768"/>
      <c r="M120" s="768"/>
      <c r="N120" s="768"/>
      <c r="O120" s="768"/>
      <c r="P120" s="768"/>
      <c r="Q120" s="768"/>
      <c r="R120" s="768"/>
      <c r="S120" s="768"/>
      <c r="T120" s="768"/>
      <c r="U120" s="768"/>
      <c r="V120" s="768"/>
      <c r="W120" s="768"/>
      <c r="X120" s="768"/>
      <c r="Y120" s="768"/>
      <c r="Z120" s="768"/>
      <c r="AA120" s="768"/>
      <c r="AB120" s="768"/>
      <c r="AC120" s="768"/>
      <c r="AD120" s="768"/>
      <c r="AE120" s="768"/>
      <c r="AF120" s="768"/>
      <c r="AG120" s="768"/>
      <c r="AH120" s="768"/>
      <c r="AI120" s="768"/>
      <c r="AJ120" s="768"/>
      <c r="AK120" s="769"/>
      <c r="AL120" s="156"/>
      <c r="AM120" s="586" t="s">
        <v>2166</v>
      </c>
      <c r="AN120" s="770"/>
      <c r="AO120" s="770"/>
      <c r="AP120" s="770"/>
      <c r="AQ120" s="770"/>
      <c r="AR120" s="770"/>
      <c r="AS120" s="770"/>
      <c r="AT120" s="770"/>
      <c r="AU120" s="770"/>
      <c r="AV120" s="770"/>
      <c r="AW120" s="770"/>
      <c r="AX120" s="770"/>
      <c r="AY120" s="770"/>
      <c r="AZ120" s="770"/>
      <c r="BA120" s="770"/>
      <c r="BB120" s="770"/>
      <c r="BC120" s="771"/>
    </row>
    <row r="121" spans="1:55" s="157" customFormat="1" ht="33.75" customHeight="1">
      <c r="A121" s="156"/>
      <c r="B121" s="752"/>
      <c r="C121" s="756"/>
      <c r="D121" s="757"/>
      <c r="E121" s="757"/>
      <c r="F121" s="757"/>
      <c r="G121" s="301"/>
      <c r="H121" s="302" t="s">
        <v>39</v>
      </c>
      <c r="I121" s="777" t="s">
        <v>117</v>
      </c>
      <c r="J121" s="778"/>
      <c r="K121" s="778"/>
      <c r="L121" s="778"/>
      <c r="M121" s="778"/>
      <c r="N121" s="778"/>
      <c r="O121" s="778"/>
      <c r="P121" s="778"/>
      <c r="Q121" s="778"/>
      <c r="R121" s="778"/>
      <c r="S121" s="778"/>
      <c r="T121" s="778"/>
      <c r="U121" s="778"/>
      <c r="V121" s="778"/>
      <c r="W121" s="778"/>
      <c r="X121" s="778"/>
      <c r="Y121" s="778"/>
      <c r="Z121" s="778"/>
      <c r="AA121" s="778"/>
      <c r="AB121" s="778"/>
      <c r="AC121" s="778"/>
      <c r="AD121" s="778"/>
      <c r="AE121" s="778"/>
      <c r="AF121" s="778"/>
      <c r="AG121" s="778"/>
      <c r="AH121" s="778"/>
      <c r="AI121" s="778"/>
      <c r="AJ121" s="778"/>
      <c r="AK121" s="779"/>
      <c r="AL121" s="156"/>
      <c r="AM121" s="772"/>
      <c r="AN121" s="773"/>
      <c r="AO121" s="773"/>
      <c r="AP121" s="773"/>
      <c r="AQ121" s="773"/>
      <c r="AR121" s="773"/>
      <c r="AS121" s="773"/>
      <c r="AT121" s="773"/>
      <c r="AU121" s="773"/>
      <c r="AV121" s="773"/>
      <c r="AW121" s="773"/>
      <c r="AX121" s="773"/>
      <c r="AY121" s="773"/>
      <c r="AZ121" s="773"/>
      <c r="BA121" s="773"/>
      <c r="BB121" s="773"/>
      <c r="BC121" s="774"/>
    </row>
    <row r="122" spans="1:55" s="157" customFormat="1" ht="37.5" customHeight="1" thickBot="1">
      <c r="A122" s="156"/>
      <c r="B122" s="753"/>
      <c r="C122" s="758"/>
      <c r="D122" s="759"/>
      <c r="E122" s="759"/>
      <c r="F122" s="759"/>
      <c r="G122" s="303"/>
      <c r="H122" s="304" t="s">
        <v>40</v>
      </c>
      <c r="I122" s="780" t="s">
        <v>118</v>
      </c>
      <c r="J122" s="781"/>
      <c r="K122" s="781"/>
      <c r="L122" s="781"/>
      <c r="M122" s="781"/>
      <c r="N122" s="781"/>
      <c r="O122" s="781"/>
      <c r="P122" s="781"/>
      <c r="Q122" s="781"/>
      <c r="R122" s="781"/>
      <c r="S122" s="781"/>
      <c r="T122" s="781"/>
      <c r="U122" s="781"/>
      <c r="V122" s="781"/>
      <c r="W122" s="781"/>
      <c r="X122" s="781"/>
      <c r="Y122" s="781"/>
      <c r="Z122" s="781"/>
      <c r="AA122" s="781"/>
      <c r="AB122" s="781"/>
      <c r="AC122" s="781"/>
      <c r="AD122" s="781"/>
      <c r="AE122" s="781"/>
      <c r="AF122" s="781"/>
      <c r="AG122" s="781"/>
      <c r="AH122" s="781"/>
      <c r="AI122" s="781"/>
      <c r="AJ122" s="781"/>
      <c r="AK122" s="782"/>
      <c r="AL122" s="156"/>
      <c r="AM122" s="775"/>
      <c r="AN122" s="674"/>
      <c r="AO122" s="674"/>
      <c r="AP122" s="674"/>
      <c r="AQ122" s="674"/>
      <c r="AR122" s="674"/>
      <c r="AS122" s="674"/>
      <c r="AT122" s="674"/>
      <c r="AU122" s="674"/>
      <c r="AV122" s="674"/>
      <c r="AW122" s="674"/>
      <c r="AX122" s="674"/>
      <c r="AY122" s="674"/>
      <c r="AZ122" s="674"/>
      <c r="BA122" s="674"/>
      <c r="BB122" s="674"/>
      <c r="BC122" s="776"/>
    </row>
    <row r="123" spans="1:55" s="157" customFormat="1" ht="13.5" customHeight="1">
      <c r="A123" s="156"/>
      <c r="B123" s="305" t="s">
        <v>103</v>
      </c>
      <c r="C123" s="789" t="s">
        <v>2210</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0"/>
      <c r="AA123" s="790"/>
      <c r="AB123" s="790"/>
      <c r="AC123" s="790"/>
      <c r="AD123" s="790"/>
      <c r="AE123" s="790"/>
      <c r="AF123" s="790"/>
      <c r="AG123" s="790"/>
      <c r="AH123" s="790"/>
      <c r="AI123" s="790"/>
      <c r="AJ123" s="790"/>
      <c r="AK123" s="600"/>
      <c r="AL123" s="216"/>
    </row>
    <row r="124" spans="1:55" s="157" customFormat="1" ht="8.25" customHeight="1" thickBot="1">
      <c r="A124" s="156"/>
      <c r="B124" s="306"/>
      <c r="C124" s="306"/>
      <c r="D124" s="306"/>
      <c r="E124" s="306"/>
      <c r="F124" s="306"/>
      <c r="G124" s="306"/>
      <c r="H124" s="306"/>
      <c r="I124" s="306"/>
      <c r="J124" s="306"/>
      <c r="K124" s="306"/>
      <c r="L124" s="306"/>
      <c r="M124" s="306"/>
      <c r="N124" s="306"/>
      <c r="O124" s="306"/>
      <c r="P124" s="306"/>
      <c r="Q124" s="306"/>
      <c r="R124" s="306"/>
      <c r="S124" s="306"/>
      <c r="T124" s="306"/>
      <c r="U124" s="306"/>
      <c r="V124" s="306"/>
      <c r="W124" s="306"/>
      <c r="X124" s="306"/>
      <c r="Y124" s="306"/>
      <c r="Z124" s="306"/>
      <c r="AA124" s="306"/>
      <c r="AB124" s="306"/>
      <c r="AC124" s="306"/>
      <c r="AD124" s="306"/>
      <c r="AE124" s="306"/>
      <c r="AF124" s="306"/>
      <c r="AG124" s="306"/>
      <c r="AH124" s="306"/>
      <c r="AI124" s="306"/>
      <c r="AJ124" s="306"/>
      <c r="AK124" s="306"/>
      <c r="AL124" s="156"/>
      <c r="AM124" s="307"/>
    </row>
    <row r="125" spans="1:55" s="157" customFormat="1" ht="27.75" customHeight="1" thickBot="1">
      <c r="A125" s="156"/>
      <c r="B125" s="791" t="s">
        <v>2167</v>
      </c>
      <c r="C125" s="791"/>
      <c r="D125" s="791"/>
      <c r="E125" s="791"/>
      <c r="F125" s="791"/>
      <c r="G125" s="791"/>
      <c r="H125" s="791"/>
      <c r="I125" s="791"/>
      <c r="J125" s="791"/>
      <c r="K125" s="791"/>
      <c r="L125" s="213"/>
      <c r="M125" s="723"/>
      <c r="N125" s="724"/>
      <c r="O125" s="792" t="s">
        <v>119</v>
      </c>
      <c r="P125" s="793"/>
      <c r="Q125" s="793"/>
      <c r="R125" s="793"/>
      <c r="S125" s="793"/>
      <c r="T125" s="793"/>
      <c r="U125" s="793"/>
      <c r="V125" s="793"/>
      <c r="W125" s="793"/>
      <c r="X125" s="793"/>
      <c r="Y125" s="793"/>
      <c r="Z125" s="793"/>
      <c r="AA125" s="793"/>
      <c r="AB125" s="793"/>
      <c r="AC125" s="793"/>
      <c r="AD125" s="793"/>
      <c r="AE125" s="793"/>
      <c r="AF125" s="793"/>
      <c r="AG125" s="793"/>
      <c r="AH125" s="793"/>
      <c r="AI125" s="793"/>
      <c r="AJ125" s="793"/>
      <c r="AK125" s="175" t="str">
        <f>IF(S118="","",IF(S118="○","",IF(AM119=TRUE,"○","×")))</f>
        <v/>
      </c>
      <c r="AL125" s="156"/>
      <c r="AM125" s="606" t="s">
        <v>2013</v>
      </c>
      <c r="AN125" s="583"/>
      <c r="AO125" s="583"/>
      <c r="AP125" s="583"/>
      <c r="AQ125" s="583"/>
      <c r="AR125" s="583"/>
      <c r="AS125" s="583"/>
      <c r="AT125" s="583"/>
      <c r="AU125" s="583"/>
      <c r="AV125" s="583"/>
      <c r="AW125" s="583"/>
      <c r="AX125" s="583"/>
      <c r="AY125" s="583"/>
      <c r="AZ125" s="583"/>
      <c r="BA125" s="583"/>
      <c r="BB125" s="583"/>
      <c r="BC125" s="584"/>
    </row>
    <row r="126" spans="1:55" s="157" customFormat="1" ht="8.25" customHeight="1">
      <c r="A126" s="156"/>
      <c r="B126" s="519"/>
      <c r="C126" s="519"/>
      <c r="D126" s="519"/>
      <c r="E126" s="519"/>
      <c r="F126" s="519"/>
      <c r="G126" s="519"/>
      <c r="H126" s="519"/>
      <c r="I126" s="519"/>
      <c r="J126" s="519"/>
      <c r="K126" s="519"/>
      <c r="L126" s="519"/>
      <c r="M126" s="519"/>
      <c r="N126" s="519"/>
      <c r="O126" s="519"/>
      <c r="P126" s="519"/>
      <c r="Q126" s="519"/>
      <c r="R126" s="519"/>
      <c r="S126" s="519"/>
      <c r="T126" s="519"/>
      <c r="U126" s="519"/>
      <c r="V126" s="519"/>
      <c r="W126" s="519"/>
      <c r="X126" s="519"/>
      <c r="Y126" s="519"/>
      <c r="Z126" s="519"/>
      <c r="AA126" s="519"/>
      <c r="AB126" s="519"/>
      <c r="AC126" s="519"/>
      <c r="AD126" s="519"/>
      <c r="AE126" s="519"/>
      <c r="AF126" s="519"/>
      <c r="AG126" s="519"/>
      <c r="AH126" s="519"/>
      <c r="AI126" s="519"/>
      <c r="AJ126" s="519"/>
      <c r="AK126" s="519"/>
      <c r="AL126" s="156"/>
      <c r="AM126" s="307"/>
    </row>
    <row r="127" spans="1:55" s="157" customFormat="1" ht="21.75" customHeight="1">
      <c r="A127" s="156"/>
      <c r="B127" s="656" t="s">
        <v>120</v>
      </c>
      <c r="C127" s="656"/>
      <c r="D127" s="656"/>
      <c r="E127" s="656"/>
      <c r="F127" s="656"/>
      <c r="G127" s="656"/>
      <c r="H127" s="656"/>
      <c r="I127" s="656"/>
      <c r="J127" s="656"/>
      <c r="K127" s="656"/>
      <c r="L127" s="656"/>
      <c r="M127" s="656"/>
      <c r="N127" s="656"/>
      <c r="O127" s="656"/>
      <c r="P127" s="656"/>
      <c r="Q127" s="656"/>
      <c r="R127" s="656"/>
      <c r="S127" s="656"/>
      <c r="T127" s="656"/>
      <c r="U127" s="656"/>
      <c r="V127" s="656"/>
      <c r="W127" s="656"/>
      <c r="X127" s="656"/>
      <c r="Y127" s="656"/>
      <c r="Z127" s="656"/>
      <c r="AA127" s="656"/>
      <c r="AB127" s="656"/>
      <c r="AC127" s="656"/>
      <c r="AD127" s="656"/>
      <c r="AE127" s="656"/>
      <c r="AF127" s="656"/>
      <c r="AG127" s="656"/>
      <c r="AH127" s="656"/>
      <c r="AI127" s="656"/>
      <c r="AJ127" s="656"/>
      <c r="AK127" s="656"/>
      <c r="AL127" s="156"/>
      <c r="AM127" s="307"/>
    </row>
    <row r="128" spans="1:55" ht="15.75" customHeight="1" thickBot="1">
      <c r="A128" s="147"/>
      <c r="B128" s="263" t="s">
        <v>121</v>
      </c>
      <c r="C128" s="147"/>
      <c r="D128" s="527"/>
      <c r="E128" s="527"/>
      <c r="F128" s="527"/>
      <c r="G128" s="527"/>
      <c r="H128" s="527"/>
      <c r="I128" s="527"/>
      <c r="J128" s="527"/>
      <c r="K128" s="527"/>
      <c r="L128" s="527"/>
      <c r="M128" s="527"/>
      <c r="N128" s="527"/>
      <c r="O128" s="527"/>
      <c r="P128" s="527"/>
      <c r="Q128" s="527"/>
      <c r="R128" s="527"/>
      <c r="S128" s="527"/>
      <c r="T128" s="527"/>
      <c r="U128" s="527"/>
      <c r="V128" s="527"/>
      <c r="W128" s="527"/>
      <c r="X128" s="527"/>
      <c r="Y128" s="527"/>
      <c r="Z128" s="527"/>
      <c r="AA128" s="527"/>
      <c r="AB128" s="527"/>
      <c r="AC128" s="527"/>
      <c r="AD128" s="527"/>
      <c r="AE128" s="527"/>
      <c r="AF128" s="527"/>
      <c r="AG128" s="527"/>
      <c r="AH128" s="527"/>
      <c r="AI128" s="527"/>
      <c r="AJ128" s="527"/>
      <c r="AK128" s="147"/>
      <c r="AL128" s="147"/>
      <c r="BB128" s="185"/>
    </row>
    <row r="129" spans="1:56" ht="24.75" customHeight="1" thickBot="1">
      <c r="A129" s="147"/>
      <c r="B129" s="549" t="s">
        <v>122</v>
      </c>
      <c r="C129" s="550"/>
      <c r="D129" s="550"/>
      <c r="E129" s="550"/>
      <c r="F129" s="550"/>
      <c r="G129" s="550"/>
      <c r="H129" s="550"/>
      <c r="I129" s="550"/>
      <c r="J129" s="550"/>
      <c r="K129" s="550"/>
      <c r="L129" s="544" t="s">
        <v>2177</v>
      </c>
      <c r="M129" s="544"/>
      <c r="N129" s="544"/>
      <c r="O129" s="544"/>
      <c r="P129" s="544"/>
      <c r="Q129" s="544"/>
      <c r="R129" s="544"/>
      <c r="S129" s="544"/>
      <c r="T129" s="544"/>
      <c r="U129" s="544"/>
      <c r="V129" s="544"/>
      <c r="W129" s="544"/>
      <c r="X129" s="544"/>
      <c r="Y129" s="544"/>
      <c r="Z129" s="544"/>
      <c r="AA129" s="545"/>
      <c r="AB129" s="308">
        <f>SUM('別紙様式6-2 事業所個票１:事業所個票10'!AG37)</f>
        <v>0</v>
      </c>
      <c r="AC129" s="546" t="s">
        <v>2179</v>
      </c>
      <c r="AD129" s="547" t="str">
        <f>IF(AB130=0,"",IF(AB129&gt;=AB130,"○","×"))</f>
        <v>×</v>
      </c>
      <c r="AE129" s="147"/>
      <c r="AF129" s="147"/>
      <c r="AG129" s="147"/>
      <c r="AH129" s="147"/>
      <c r="AI129" s="147"/>
      <c r="AJ129" s="147"/>
      <c r="AK129" s="147"/>
      <c r="AL129" s="147"/>
      <c r="AM129" s="309" t="str">
        <f>IF(OR(AD129="×",AD131="×"),"×","")</f>
        <v>×</v>
      </c>
    </row>
    <row r="130" spans="1:56" ht="24.75" customHeight="1" thickBot="1">
      <c r="A130" s="147"/>
      <c r="B130" s="551"/>
      <c r="C130" s="552"/>
      <c r="D130" s="552"/>
      <c r="E130" s="552"/>
      <c r="F130" s="552"/>
      <c r="G130" s="552"/>
      <c r="H130" s="552"/>
      <c r="I130" s="552"/>
      <c r="J130" s="552"/>
      <c r="K130" s="552"/>
      <c r="L130" s="544" t="s">
        <v>2178</v>
      </c>
      <c r="M130" s="544"/>
      <c r="N130" s="544"/>
      <c r="O130" s="544"/>
      <c r="P130" s="544"/>
      <c r="Q130" s="544"/>
      <c r="R130" s="544"/>
      <c r="S130" s="544"/>
      <c r="T130" s="544"/>
      <c r="U130" s="544"/>
      <c r="V130" s="544"/>
      <c r="W130" s="544"/>
      <c r="X130" s="544"/>
      <c r="Y130" s="544"/>
      <c r="Z130" s="544"/>
      <c r="AA130" s="545"/>
      <c r="AB130" s="308">
        <f>SUM('別紙様式6-2 事業所個票１:事業所個票10'!CI6)</f>
        <v>1</v>
      </c>
      <c r="AC130" s="546"/>
      <c r="AD130" s="548"/>
      <c r="AE130" s="147"/>
      <c r="AF130" s="147"/>
      <c r="AG130" s="147"/>
      <c r="AH130" s="147"/>
      <c r="AI130" s="147"/>
      <c r="AJ130" s="147"/>
      <c r="AK130" s="147"/>
      <c r="AL130" s="147"/>
    </row>
    <row r="131" spans="1:56" ht="24.75" customHeight="1" thickBot="1">
      <c r="A131" s="147"/>
      <c r="B131" s="794" t="s">
        <v>2168</v>
      </c>
      <c r="C131" s="786"/>
      <c r="D131" s="786"/>
      <c r="E131" s="786"/>
      <c r="F131" s="786"/>
      <c r="G131" s="786"/>
      <c r="H131" s="786"/>
      <c r="I131" s="786"/>
      <c r="J131" s="786"/>
      <c r="K131" s="786"/>
      <c r="L131" s="544" t="s">
        <v>2177</v>
      </c>
      <c r="M131" s="544"/>
      <c r="N131" s="544"/>
      <c r="O131" s="544"/>
      <c r="P131" s="544"/>
      <c r="Q131" s="544"/>
      <c r="R131" s="544"/>
      <c r="S131" s="544"/>
      <c r="T131" s="544"/>
      <c r="U131" s="544"/>
      <c r="V131" s="544"/>
      <c r="W131" s="544"/>
      <c r="X131" s="544"/>
      <c r="Y131" s="544"/>
      <c r="Z131" s="544"/>
      <c r="AA131" s="545"/>
      <c r="AB131" s="308">
        <f>SUM('別紙様式6-2 事業所個票１:事業所個票10'!AO37)</f>
        <v>1</v>
      </c>
      <c r="AC131" s="546" t="s">
        <v>2179</v>
      </c>
      <c r="AD131" s="547" t="str">
        <f>IF(AB132=0,"",IF(AB131&gt;=AB132,"○","×"))</f>
        <v>○</v>
      </c>
      <c r="AE131" s="147"/>
      <c r="AF131" s="310"/>
      <c r="AG131" s="147"/>
      <c r="AH131" s="147"/>
      <c r="AI131" s="147"/>
      <c r="AJ131" s="147"/>
      <c r="AK131" s="147"/>
      <c r="AL131" s="147"/>
    </row>
    <row r="132" spans="1:56" ht="24.75" customHeight="1" thickBot="1">
      <c r="A132" s="147"/>
      <c r="B132" s="795"/>
      <c r="C132" s="796"/>
      <c r="D132" s="796"/>
      <c r="E132" s="796"/>
      <c r="F132" s="796"/>
      <c r="G132" s="796"/>
      <c r="H132" s="796"/>
      <c r="I132" s="796"/>
      <c r="J132" s="796"/>
      <c r="K132" s="796"/>
      <c r="L132" s="544" t="s">
        <v>2178</v>
      </c>
      <c r="M132" s="544"/>
      <c r="N132" s="544"/>
      <c r="O132" s="544"/>
      <c r="P132" s="544"/>
      <c r="Q132" s="544"/>
      <c r="R132" s="544"/>
      <c r="S132" s="544"/>
      <c r="T132" s="544"/>
      <c r="U132" s="544"/>
      <c r="V132" s="544"/>
      <c r="W132" s="544"/>
      <c r="X132" s="544"/>
      <c r="Y132" s="544"/>
      <c r="Z132" s="544"/>
      <c r="AA132" s="545"/>
      <c r="AB132" s="308">
        <f>SUM('別紙様式6-2 事業所個票１:事業所個票10'!CI6)</f>
        <v>1</v>
      </c>
      <c r="AC132" s="546"/>
      <c r="AD132" s="548"/>
      <c r="AE132" s="147"/>
      <c r="AF132" s="310"/>
      <c r="AG132" s="147"/>
      <c r="AH132" s="147"/>
      <c r="AI132" s="147"/>
      <c r="AJ132" s="147"/>
      <c r="AK132" s="147"/>
      <c r="AL132" s="147"/>
    </row>
    <row r="133" spans="1:56" ht="6" customHeight="1" thickBot="1">
      <c r="A133" s="147"/>
      <c r="B133" s="263"/>
      <c r="C133" s="147"/>
      <c r="D133" s="527"/>
      <c r="E133" s="527"/>
      <c r="F133" s="527"/>
      <c r="G133" s="527"/>
      <c r="H133" s="527"/>
      <c r="I133" s="527"/>
      <c r="J133" s="527"/>
      <c r="K133" s="527"/>
      <c r="L133" s="527"/>
      <c r="M133" s="527"/>
      <c r="N133" s="527"/>
      <c r="O133" s="527"/>
      <c r="P133" s="527"/>
      <c r="Q133" s="527"/>
      <c r="R133" s="527"/>
      <c r="S133" s="527"/>
      <c r="T133" s="527"/>
      <c r="U133" s="527"/>
      <c r="V133" s="527"/>
      <c r="W133" s="527"/>
      <c r="X133" s="527"/>
      <c r="Y133" s="527"/>
      <c r="Z133" s="527"/>
      <c r="AA133" s="527"/>
      <c r="AB133" s="527"/>
      <c r="AC133" s="527"/>
      <c r="AD133" s="527"/>
      <c r="AE133" s="527"/>
      <c r="AF133" s="527"/>
      <c r="AG133" s="527"/>
      <c r="AH133" s="527"/>
      <c r="AI133" s="527"/>
      <c r="AJ133" s="527"/>
      <c r="AK133" s="147"/>
      <c r="AL133" s="147"/>
      <c r="AM133" s="311"/>
      <c r="BB133" s="185"/>
    </row>
    <row r="134" spans="1:56" ht="14.25" thickBot="1">
      <c r="A134" s="147"/>
      <c r="B134" s="312" t="s">
        <v>123</v>
      </c>
      <c r="D134" s="313"/>
      <c r="E134" s="313"/>
      <c r="F134" s="313"/>
      <c r="G134" s="313"/>
      <c r="H134" s="313"/>
      <c r="I134" s="313"/>
      <c r="J134" s="313"/>
      <c r="K134" s="313"/>
      <c r="L134" s="313"/>
      <c r="M134" s="313"/>
      <c r="N134" s="313"/>
      <c r="O134" s="313"/>
      <c r="P134" s="313"/>
      <c r="Q134" s="313"/>
      <c r="R134" s="313"/>
      <c r="S134" s="313"/>
      <c r="T134" s="313"/>
      <c r="U134" s="313"/>
      <c r="V134" s="527"/>
      <c r="W134" s="527"/>
      <c r="X134" s="527"/>
      <c r="Y134" s="527"/>
      <c r="Z134" s="527"/>
      <c r="AA134" s="527"/>
      <c r="AB134" s="527"/>
      <c r="AC134" s="527"/>
      <c r="AD134" s="527"/>
      <c r="AE134" s="527"/>
      <c r="AF134" s="527"/>
      <c r="AG134" s="527"/>
      <c r="AH134" s="527"/>
      <c r="AI134" s="527"/>
      <c r="AJ134" s="527"/>
      <c r="AK134" s="175" t="str">
        <f>IF(AM129="","",IF(AM129="○","",IF(OR(AM136=TRUE,AM137=TRUE,AM138=TRUE,AND(AM139=TRUE,F139&lt;&gt;"")),"○","×")))</f>
        <v>○</v>
      </c>
      <c r="AL134" s="147"/>
      <c r="AM134" s="606" t="s">
        <v>2169</v>
      </c>
      <c r="AN134" s="583"/>
      <c r="AO134" s="583"/>
      <c r="AP134" s="583"/>
      <c r="AQ134" s="583"/>
      <c r="AR134" s="583"/>
      <c r="AS134" s="583"/>
      <c r="AT134" s="583"/>
      <c r="AU134" s="583"/>
      <c r="AV134" s="583"/>
      <c r="AW134" s="583"/>
      <c r="AX134" s="583"/>
      <c r="AY134" s="583"/>
      <c r="AZ134" s="583"/>
      <c r="BA134" s="583"/>
      <c r="BB134" s="583"/>
      <c r="BC134" s="584"/>
    </row>
    <row r="135" spans="1:56" s="157" customFormat="1" ht="14.25" customHeight="1">
      <c r="A135" s="156"/>
      <c r="B135" s="314" t="s">
        <v>124</v>
      </c>
      <c r="C135" s="315"/>
      <c r="D135" s="316"/>
      <c r="E135" s="317"/>
      <c r="F135" s="318"/>
      <c r="G135" s="318"/>
      <c r="H135" s="318"/>
      <c r="I135" s="318"/>
      <c r="J135" s="318"/>
      <c r="K135" s="318"/>
      <c r="L135" s="318"/>
      <c r="M135" s="318"/>
      <c r="N135" s="318"/>
      <c r="O135" s="318"/>
      <c r="P135" s="318"/>
      <c r="Q135" s="318"/>
      <c r="R135" s="318"/>
      <c r="S135" s="318"/>
      <c r="T135" s="318"/>
      <c r="U135" s="318"/>
      <c r="V135" s="318"/>
      <c r="W135" s="318"/>
      <c r="X135" s="318"/>
      <c r="Y135" s="318"/>
      <c r="Z135" s="318"/>
      <c r="AA135" s="318"/>
      <c r="AB135" s="318"/>
      <c r="AC135" s="318"/>
      <c r="AD135" s="318"/>
      <c r="AE135" s="318"/>
      <c r="AF135" s="318"/>
      <c r="AG135" s="318"/>
      <c r="AH135" s="318"/>
      <c r="AI135" s="318"/>
      <c r="AJ135" s="318"/>
      <c r="AK135" s="319"/>
      <c r="AL135" s="156"/>
      <c r="AN135" s="320"/>
      <c r="AO135" s="320"/>
      <c r="AP135" s="320"/>
      <c r="AQ135" s="320"/>
      <c r="AR135" s="320"/>
      <c r="AS135" s="320"/>
      <c r="AT135" s="320"/>
      <c r="AU135" s="320"/>
      <c r="AV135" s="321"/>
      <c r="AW135" s="321"/>
      <c r="AX135" s="321"/>
      <c r="AY135" s="321"/>
      <c r="AZ135" s="321"/>
      <c r="BA135" s="322"/>
    </row>
    <row r="136" spans="1:56" s="157" customFormat="1" ht="16.5" customHeight="1">
      <c r="A136" s="156"/>
      <c r="B136" s="204"/>
      <c r="C136" s="323"/>
      <c r="D136" s="198" t="s">
        <v>2170</v>
      </c>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c r="AB136" s="166"/>
      <c r="AC136" s="166"/>
      <c r="AD136" s="166"/>
      <c r="AE136" s="166"/>
      <c r="AF136" s="166"/>
      <c r="AG136" s="166"/>
      <c r="AH136" s="166"/>
      <c r="AI136" s="211"/>
      <c r="AJ136" s="156"/>
      <c r="AK136" s="212"/>
      <c r="AL136" s="156"/>
      <c r="AM136" s="521" t="b">
        <v>1</v>
      </c>
      <c r="AN136" s="320"/>
      <c r="AO136" s="320"/>
      <c r="AP136" s="320"/>
      <c r="AQ136" s="320"/>
      <c r="AR136" s="320"/>
      <c r="AS136" s="320"/>
      <c r="AT136" s="320"/>
      <c r="AU136" s="321"/>
      <c r="AV136" s="322"/>
      <c r="AW136" s="322"/>
      <c r="AX136" s="322"/>
      <c r="AY136" s="322"/>
      <c r="AZ136" s="322"/>
    </row>
    <row r="137" spans="1:56" s="157" customFormat="1" ht="16.5" customHeight="1">
      <c r="A137" s="156"/>
      <c r="B137" s="204"/>
      <c r="C137" s="324"/>
      <c r="D137" s="198" t="s">
        <v>2171</v>
      </c>
      <c r="E137" s="325"/>
      <c r="F137" s="325"/>
      <c r="G137" s="325"/>
      <c r="H137" s="325"/>
      <c r="I137" s="325"/>
      <c r="J137" s="325"/>
      <c r="K137" s="325"/>
      <c r="L137" s="325"/>
      <c r="M137" s="325"/>
      <c r="N137" s="325"/>
      <c r="O137" s="325"/>
      <c r="P137" s="325"/>
      <c r="Q137" s="325"/>
      <c r="R137" s="325"/>
      <c r="S137" s="325"/>
      <c r="T137" s="166"/>
      <c r="U137" s="166"/>
      <c r="V137" s="166"/>
      <c r="W137" s="166"/>
      <c r="X137" s="166"/>
      <c r="Y137" s="166"/>
      <c r="Z137" s="166"/>
      <c r="AA137" s="166"/>
      <c r="AB137" s="166"/>
      <c r="AC137" s="166"/>
      <c r="AD137" s="166"/>
      <c r="AE137" s="166"/>
      <c r="AF137" s="166"/>
      <c r="AG137" s="166"/>
      <c r="AH137" s="166"/>
      <c r="AI137" s="211"/>
      <c r="AJ137" s="156"/>
      <c r="AK137" s="212"/>
      <c r="AL137" s="156"/>
      <c r="AM137" s="521" t="b">
        <v>0</v>
      </c>
      <c r="AN137" s="320"/>
      <c r="AO137" s="320"/>
      <c r="AP137" s="320"/>
      <c r="AQ137" s="320"/>
      <c r="AR137" s="320"/>
      <c r="AS137" s="320"/>
      <c r="AT137" s="320"/>
      <c r="AU137" s="321"/>
      <c r="AV137" s="322"/>
      <c r="AW137" s="322"/>
      <c r="AX137" s="322"/>
      <c r="AY137" s="322"/>
      <c r="AZ137" s="322"/>
    </row>
    <row r="138" spans="1:56" s="157" customFormat="1" ht="25.5" customHeight="1" thickBot="1">
      <c r="A138" s="156"/>
      <c r="B138" s="204"/>
      <c r="C138" s="324"/>
      <c r="D138" s="802" t="s">
        <v>125</v>
      </c>
      <c r="E138" s="802"/>
      <c r="F138" s="802"/>
      <c r="G138" s="802"/>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156"/>
      <c r="AK138" s="212"/>
      <c r="AL138" s="326"/>
      <c r="AM138" s="521" t="b">
        <v>0</v>
      </c>
      <c r="AN138" s="321"/>
      <c r="AO138" s="321"/>
      <c r="AP138" s="321"/>
      <c r="AS138" s="322"/>
      <c r="AT138" s="322"/>
    </row>
    <row r="139" spans="1:56" s="157" customFormat="1" ht="18" customHeight="1" thickBot="1">
      <c r="A139" s="156"/>
      <c r="B139" s="327"/>
      <c r="C139" s="328"/>
      <c r="D139" s="329" t="s">
        <v>126</v>
      </c>
      <c r="E139" s="330"/>
      <c r="F139" s="1244"/>
      <c r="G139" s="1244"/>
      <c r="H139" s="1244"/>
      <c r="I139" s="1244"/>
      <c r="J139" s="1244"/>
      <c r="K139" s="1244"/>
      <c r="L139" s="1244"/>
      <c r="M139" s="1244"/>
      <c r="N139" s="1244"/>
      <c r="O139" s="1244"/>
      <c r="P139" s="1244"/>
      <c r="Q139" s="1244"/>
      <c r="R139" s="1244"/>
      <c r="S139" s="1244"/>
      <c r="T139" s="1244"/>
      <c r="U139" s="1244"/>
      <c r="V139" s="1244"/>
      <c r="W139" s="1244"/>
      <c r="X139" s="1244"/>
      <c r="Y139" s="1244"/>
      <c r="Z139" s="1244"/>
      <c r="AA139" s="1244"/>
      <c r="AB139" s="1244"/>
      <c r="AC139" s="1244"/>
      <c r="AD139" s="1244"/>
      <c r="AE139" s="1244"/>
      <c r="AF139" s="1244"/>
      <c r="AG139" s="1244"/>
      <c r="AH139" s="1244"/>
      <c r="AI139" s="1244"/>
      <c r="AJ139" s="1244"/>
      <c r="AK139" s="331" t="s">
        <v>69</v>
      </c>
      <c r="AL139" s="156"/>
      <c r="AM139" s="521" t="b">
        <v>0</v>
      </c>
      <c r="AN139" s="728" t="s">
        <v>2172</v>
      </c>
      <c r="AO139" s="747"/>
      <c r="AP139" s="747"/>
      <c r="AQ139" s="747"/>
      <c r="AR139" s="747"/>
      <c r="AS139" s="747"/>
      <c r="AT139" s="747"/>
      <c r="AU139" s="747"/>
      <c r="AV139" s="747"/>
      <c r="AW139" s="747"/>
      <c r="AX139" s="747"/>
      <c r="AY139" s="747"/>
      <c r="AZ139" s="747"/>
      <c r="BA139" s="747"/>
      <c r="BB139" s="747"/>
      <c r="BC139" s="748"/>
    </row>
    <row r="140" spans="1:56" ht="4.5" customHeight="1">
      <c r="A140" s="147"/>
      <c r="B140" s="528"/>
      <c r="C140" s="332"/>
      <c r="D140" s="332"/>
      <c r="E140" s="332"/>
      <c r="F140" s="332"/>
      <c r="G140" s="332"/>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147"/>
      <c r="BD140" s="157"/>
    </row>
    <row r="141" spans="1:56" ht="17.25" customHeight="1">
      <c r="A141" s="147"/>
      <c r="B141" s="656" t="s">
        <v>127</v>
      </c>
      <c r="C141" s="656"/>
      <c r="D141" s="656"/>
      <c r="E141" s="656"/>
      <c r="F141" s="656"/>
      <c r="G141" s="656"/>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56"/>
      <c r="AE141" s="656"/>
      <c r="AF141" s="656"/>
      <c r="AG141" s="656"/>
      <c r="AH141" s="656"/>
      <c r="AI141" s="656"/>
      <c r="AJ141" s="656"/>
      <c r="AK141" s="656"/>
      <c r="AL141" s="147"/>
      <c r="AM141" s="333" t="str">
        <f>IF(SUM('別紙様式6-2 事業所個票１:事業所個票10'!CI9)&gt;=1,"表示","表示不要")</f>
        <v>表示</v>
      </c>
    </row>
    <row r="142" spans="1:56" ht="14.25" thickBot="1">
      <c r="A142" s="147"/>
      <c r="B142" s="263" t="s">
        <v>2236</v>
      </c>
      <c r="C142" s="147"/>
      <c r="D142" s="527"/>
      <c r="E142" s="527"/>
      <c r="F142" s="527"/>
      <c r="G142" s="527"/>
      <c r="H142" s="527"/>
      <c r="I142" s="527"/>
      <c r="J142" s="527"/>
      <c r="K142" s="527"/>
      <c r="L142" s="527"/>
      <c r="M142" s="527"/>
      <c r="N142" s="527"/>
      <c r="O142" s="527"/>
      <c r="P142" s="527"/>
      <c r="Q142" s="527"/>
      <c r="R142" s="527"/>
      <c r="S142" s="527"/>
      <c r="T142" s="527"/>
      <c r="U142" s="527"/>
      <c r="V142" s="527"/>
      <c r="W142" s="527"/>
      <c r="X142" s="527"/>
      <c r="Y142" s="527"/>
      <c r="Z142" s="527"/>
      <c r="AA142" s="527"/>
      <c r="AB142" s="527"/>
      <c r="AC142" s="527"/>
      <c r="AD142" s="527"/>
      <c r="AE142" s="527"/>
      <c r="AF142" s="527"/>
      <c r="AG142" s="527"/>
      <c r="AH142" s="527"/>
      <c r="AI142" s="527"/>
      <c r="AJ142" s="527"/>
      <c r="AK142" s="527"/>
      <c r="AL142" s="147"/>
    </row>
    <row r="143" spans="1:56" ht="16.5" customHeight="1" thickBot="1">
      <c r="A143" s="147"/>
      <c r="B143" s="803" t="s">
        <v>128</v>
      </c>
      <c r="C143" s="676"/>
      <c r="D143" s="676"/>
      <c r="E143" s="676"/>
      <c r="F143" s="676"/>
      <c r="G143" s="676"/>
      <c r="H143" s="676"/>
      <c r="I143" s="676"/>
      <c r="J143" s="676"/>
      <c r="K143" s="676"/>
      <c r="L143" s="676"/>
      <c r="M143" s="676"/>
      <c r="N143" s="676"/>
      <c r="O143" s="676"/>
      <c r="P143" s="676"/>
      <c r="Q143" s="677"/>
      <c r="R143" s="334" t="s">
        <v>83</v>
      </c>
      <c r="S143" s="335" t="str">
        <f>IF(SUM('別紙様式6-2 事業所個票１:事業所個票10'!CI7)&gt;=1,"×","○")</f>
        <v>○</v>
      </c>
      <c r="T143" s="147"/>
      <c r="U143" s="310"/>
      <c r="V143" s="147"/>
      <c r="W143" s="147"/>
      <c r="X143" s="147"/>
      <c r="Y143" s="147"/>
      <c r="Z143" s="147"/>
      <c r="AA143" s="147"/>
      <c r="AB143" s="147"/>
      <c r="AC143" s="147"/>
      <c r="AD143" s="147"/>
      <c r="AE143" s="147"/>
      <c r="AF143" s="147"/>
      <c r="AG143" s="147"/>
      <c r="AH143" s="147"/>
      <c r="AI143" s="147"/>
      <c r="AJ143" s="147"/>
      <c r="AK143" s="147"/>
      <c r="AL143" s="147"/>
      <c r="AM143" s="728" t="s">
        <v>2180</v>
      </c>
      <c r="AN143" s="729"/>
      <c r="AO143" s="729"/>
      <c r="AP143" s="729"/>
      <c r="AQ143" s="729"/>
      <c r="AR143" s="729"/>
      <c r="AS143" s="729"/>
      <c r="AT143" s="729"/>
      <c r="AU143" s="729"/>
      <c r="AV143" s="729"/>
      <c r="AW143" s="729"/>
      <c r="AX143" s="729"/>
      <c r="AY143" s="729"/>
      <c r="AZ143" s="729"/>
      <c r="BA143" s="729"/>
      <c r="BB143" s="729"/>
      <c r="BC143" s="730"/>
    </row>
    <row r="144" spans="1:56" ht="16.5" customHeight="1" thickBot="1">
      <c r="A144" s="147"/>
      <c r="B144" s="797" t="s">
        <v>129</v>
      </c>
      <c r="C144" s="660"/>
      <c r="D144" s="660"/>
      <c r="E144" s="660"/>
      <c r="F144" s="660"/>
      <c r="G144" s="660"/>
      <c r="H144" s="660"/>
      <c r="I144" s="660"/>
      <c r="J144" s="660"/>
      <c r="K144" s="660"/>
      <c r="L144" s="660"/>
      <c r="M144" s="660"/>
      <c r="N144" s="660"/>
      <c r="O144" s="660"/>
      <c r="P144" s="660"/>
      <c r="Q144" s="661"/>
      <c r="R144" s="334" t="s">
        <v>83</v>
      </c>
      <c r="S144" s="336" t="str">
        <f>IF(SUM('別紙様式6-2 事業所個票１:事業所個票10'!CI8)&gt;=1,"×","○")</f>
        <v>○</v>
      </c>
      <c r="T144" s="147"/>
      <c r="U144" s="310"/>
      <c r="V144" s="147"/>
      <c r="W144" s="147"/>
      <c r="X144" s="147"/>
      <c r="Y144" s="147"/>
      <c r="Z144" s="147"/>
      <c r="AA144" s="147"/>
      <c r="AB144" s="147"/>
      <c r="AC144" s="147"/>
      <c r="AD144" s="147"/>
      <c r="AE144" s="147"/>
      <c r="AF144" s="147"/>
      <c r="AG144" s="147"/>
      <c r="AH144" s="147"/>
      <c r="AI144" s="147"/>
      <c r="AJ144" s="147"/>
      <c r="AK144" s="147"/>
      <c r="AL144" s="147"/>
      <c r="AM144" s="728" t="s">
        <v>2181</v>
      </c>
      <c r="AN144" s="729"/>
      <c r="AO144" s="729"/>
      <c r="AP144" s="729"/>
      <c r="AQ144" s="729"/>
      <c r="AR144" s="729"/>
      <c r="AS144" s="729"/>
      <c r="AT144" s="729"/>
      <c r="AU144" s="729"/>
      <c r="AV144" s="729"/>
      <c r="AW144" s="729"/>
      <c r="AX144" s="729"/>
      <c r="AY144" s="729"/>
      <c r="AZ144" s="729"/>
      <c r="BA144" s="729"/>
      <c r="BB144" s="729"/>
      <c r="BC144" s="730"/>
    </row>
    <row r="145" spans="1:55" s="157" customFormat="1" ht="4.5" customHeight="1">
      <c r="A145" s="156"/>
      <c r="B145" s="213"/>
      <c r="C145" s="213"/>
      <c r="D145" s="213"/>
      <c r="E145" s="213"/>
      <c r="F145" s="526"/>
      <c r="G145" s="211"/>
      <c r="H145" s="211"/>
      <c r="I145" s="211"/>
      <c r="J145" s="211"/>
      <c r="K145" s="211"/>
      <c r="L145" s="211"/>
      <c r="M145" s="251"/>
      <c r="N145" s="251"/>
      <c r="O145" s="251"/>
      <c r="P145" s="251"/>
      <c r="Q145" s="251"/>
      <c r="R145" s="251"/>
      <c r="S145" s="251"/>
      <c r="T145" s="251"/>
      <c r="U145" s="211"/>
      <c r="V145" s="211"/>
      <c r="W145" s="221"/>
      <c r="X145" s="211"/>
      <c r="Y145" s="211"/>
      <c r="Z145" s="211"/>
      <c r="AA145" s="251"/>
      <c r="AB145" s="211"/>
      <c r="AC145" s="211"/>
      <c r="AD145" s="211"/>
      <c r="AE145" s="211"/>
      <c r="AF145" s="211"/>
      <c r="AG145" s="211"/>
      <c r="AH145" s="211"/>
      <c r="AI145" s="211"/>
      <c r="AJ145" s="211"/>
      <c r="AK145" s="211"/>
      <c r="AL145" s="156"/>
    </row>
    <row r="146" spans="1:55" s="254" customFormat="1" ht="17.25" customHeight="1" thickBot="1">
      <c r="A146" s="252"/>
      <c r="B146" s="798" t="s">
        <v>130</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337"/>
    </row>
    <row r="147" spans="1:55" s="157" customFormat="1" ht="18.75" customHeight="1" thickBot="1">
      <c r="A147" s="156"/>
      <c r="B147" s="217" t="s">
        <v>131</v>
      </c>
      <c r="C147" s="198"/>
      <c r="D147" s="198"/>
      <c r="E147" s="198"/>
      <c r="F147" s="198"/>
      <c r="G147" s="198"/>
      <c r="H147" s="198"/>
      <c r="I147" s="198"/>
      <c r="J147" s="198"/>
      <c r="K147" s="198"/>
      <c r="L147" s="198"/>
      <c r="M147" s="198"/>
      <c r="N147" s="198"/>
      <c r="O147" s="198"/>
      <c r="P147" s="198"/>
      <c r="Q147" s="198"/>
      <c r="R147" s="198"/>
      <c r="S147" s="198"/>
      <c r="T147" s="198"/>
      <c r="U147" s="198"/>
      <c r="V147" s="156"/>
      <c r="W147" s="198"/>
      <c r="X147" s="198"/>
      <c r="Y147" s="198"/>
      <c r="Z147" s="198"/>
      <c r="AA147" s="198"/>
      <c r="AB147" s="198"/>
      <c r="AC147" s="198"/>
      <c r="AD147" s="198"/>
      <c r="AE147" s="198"/>
      <c r="AF147" s="198"/>
      <c r="AG147" s="198"/>
      <c r="AH147" s="156"/>
      <c r="AI147" s="799" t="str">
        <f>IF(SUM('別紙様式6-2 事業所個票１:事業所個票10'!CI10)=0,"該当","")</f>
        <v/>
      </c>
      <c r="AJ147" s="800"/>
      <c r="AK147" s="801"/>
      <c r="AL147" s="156"/>
    </row>
    <row r="148" spans="1:55" s="157" customFormat="1" ht="24" customHeight="1">
      <c r="A148" s="156"/>
      <c r="B148" s="240" t="s">
        <v>83</v>
      </c>
      <c r="C148" s="813" t="s">
        <v>132</v>
      </c>
      <c r="D148" s="813"/>
      <c r="E148" s="813"/>
      <c r="F148" s="813"/>
      <c r="G148" s="813"/>
      <c r="H148" s="813"/>
      <c r="I148" s="813"/>
      <c r="J148" s="813"/>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813"/>
      <c r="AL148" s="156"/>
    </row>
    <row r="149" spans="1:55" s="157" customFormat="1" ht="3.75" customHeight="1" thickBot="1">
      <c r="A149" s="156"/>
      <c r="B149" s="156"/>
      <c r="C149" s="156"/>
      <c r="D149" s="156"/>
      <c r="E149" s="156"/>
      <c r="F149" s="156"/>
      <c r="G149" s="156"/>
      <c r="H149" s="156"/>
      <c r="I149" s="156"/>
      <c r="J149" s="156"/>
      <c r="K149" s="156"/>
      <c r="L149" s="156"/>
      <c r="M149" s="156"/>
      <c r="N149" s="156"/>
      <c r="O149" s="156"/>
      <c r="P149" s="156"/>
      <c r="Q149" s="156"/>
      <c r="R149" s="156"/>
      <c r="S149" s="156"/>
      <c r="T149" s="156"/>
      <c r="U149" s="156"/>
      <c r="V149" s="156"/>
      <c r="W149" s="156"/>
      <c r="X149" s="156"/>
      <c r="Y149" s="156"/>
      <c r="Z149" s="156"/>
      <c r="AA149" s="156"/>
      <c r="AB149" s="156"/>
      <c r="AC149" s="156"/>
      <c r="AD149" s="156"/>
      <c r="AE149" s="156"/>
      <c r="AF149" s="156"/>
      <c r="AG149" s="156"/>
      <c r="AH149" s="156"/>
      <c r="AI149" s="156"/>
      <c r="AJ149" s="156"/>
      <c r="AK149" s="156"/>
      <c r="AL149" s="156"/>
    </row>
    <row r="150" spans="1:55" s="157" customFormat="1" ht="14.25" customHeight="1" thickBot="1">
      <c r="A150" s="156"/>
      <c r="B150" s="217" t="s">
        <v>133</v>
      </c>
      <c r="C150" s="221"/>
      <c r="D150" s="221"/>
      <c r="E150" s="221"/>
      <c r="F150" s="221"/>
      <c r="G150" s="221"/>
      <c r="H150" s="221"/>
      <c r="I150" s="221"/>
      <c r="J150" s="221"/>
      <c r="K150" s="221"/>
      <c r="L150" s="221"/>
      <c r="M150" s="221"/>
      <c r="N150" s="221"/>
      <c r="O150" s="221"/>
      <c r="P150" s="221"/>
      <c r="Q150" s="221"/>
      <c r="R150" s="221"/>
      <c r="S150" s="221"/>
      <c r="T150" s="221"/>
      <c r="U150" s="221"/>
      <c r="V150" s="221"/>
      <c r="W150" s="221"/>
      <c r="X150" s="221"/>
      <c r="Y150" s="221"/>
      <c r="Z150" s="221"/>
      <c r="AA150" s="221"/>
      <c r="AB150" s="221"/>
      <c r="AC150" s="221"/>
      <c r="AD150" s="221"/>
      <c r="AE150" s="221"/>
      <c r="AF150" s="221"/>
      <c r="AG150" s="221"/>
      <c r="AH150" s="198"/>
      <c r="AI150" s="799" t="str">
        <f>IF(SUM('別紙様式6-2 事業所個票１:事業所個票10'!CI10)&gt;=1,"該当","")</f>
        <v>該当</v>
      </c>
      <c r="AJ150" s="800"/>
      <c r="AK150" s="801"/>
      <c r="AL150" s="156"/>
    </row>
    <row r="151" spans="1:55" s="157" customFormat="1" ht="39" customHeight="1" thickBot="1">
      <c r="A151" s="156"/>
      <c r="B151" s="240" t="s">
        <v>83</v>
      </c>
      <c r="C151" s="813" t="s">
        <v>2228</v>
      </c>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3"/>
      <c r="AJ151" s="813"/>
      <c r="AK151" s="813"/>
      <c r="AL151" s="156"/>
      <c r="AN151" s="606" t="s">
        <v>2214</v>
      </c>
      <c r="AO151" s="664"/>
      <c r="AP151" s="664"/>
      <c r="AQ151" s="664"/>
      <c r="AR151" s="664"/>
      <c r="AS151" s="664"/>
      <c r="AT151" s="664"/>
      <c r="AU151" s="664"/>
      <c r="AV151" s="664"/>
      <c r="AW151" s="664"/>
      <c r="AX151" s="664"/>
      <c r="AY151" s="664"/>
      <c r="AZ151" s="664"/>
      <c r="BA151" s="664"/>
      <c r="BB151" s="664"/>
      <c r="BC151" s="665"/>
    </row>
    <row r="152" spans="1:55" s="157" customFormat="1" ht="4.5" customHeight="1" thickBot="1">
      <c r="A152" s="156"/>
      <c r="B152" s="338"/>
      <c r="C152" s="338"/>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8"/>
      <c r="Z152" s="338"/>
      <c r="AA152" s="338"/>
      <c r="AB152" s="338"/>
      <c r="AC152" s="338"/>
      <c r="AD152" s="338"/>
      <c r="AE152" s="338"/>
      <c r="AF152" s="338"/>
      <c r="AG152" s="338"/>
      <c r="AH152" s="338"/>
      <c r="AI152" s="338"/>
      <c r="AJ152" s="338"/>
      <c r="AK152" s="338"/>
      <c r="AL152" s="156"/>
      <c r="AM152" s="149"/>
    </row>
    <row r="153" spans="1:55" s="157" customFormat="1" ht="13.5" customHeight="1" thickBot="1">
      <c r="A153" s="156"/>
      <c r="B153" s="814" t="s">
        <v>134</v>
      </c>
      <c r="C153" s="815"/>
      <c r="D153" s="815"/>
      <c r="E153" s="816"/>
      <c r="F153" s="817" t="s">
        <v>135</v>
      </c>
      <c r="G153" s="818"/>
      <c r="H153" s="818"/>
      <c r="I153" s="818"/>
      <c r="J153" s="818"/>
      <c r="K153" s="818"/>
      <c r="L153" s="818"/>
      <c r="M153" s="818"/>
      <c r="N153" s="818"/>
      <c r="O153" s="818"/>
      <c r="P153" s="818"/>
      <c r="Q153" s="818"/>
      <c r="R153" s="818"/>
      <c r="S153" s="818"/>
      <c r="T153" s="818"/>
      <c r="U153" s="818"/>
      <c r="V153" s="818"/>
      <c r="W153" s="818"/>
      <c r="X153" s="818"/>
      <c r="Y153" s="818"/>
      <c r="Z153" s="818"/>
      <c r="AA153" s="818"/>
      <c r="AB153" s="818"/>
      <c r="AC153" s="818"/>
      <c r="AD153" s="818"/>
      <c r="AE153" s="818"/>
      <c r="AF153" s="818"/>
      <c r="AG153" s="818"/>
      <c r="AH153" s="818"/>
      <c r="AI153" s="818"/>
      <c r="AJ153" s="819"/>
      <c r="AK153" s="515" t="str">
        <f>IF(AI150="該当",IF((IF(COUNTIF(AM154:AM157,TRUE)&gt;=1,1,0)+IF(COUNTIF(AM158:AM161,TRUE)&gt;=1,1,0)+IF(COUNTIF(AM162:AM166,TRUE)&gt;=1,1,0)+IF(COUNTIF(AM167:AM170,TRUE)&gt;=1,1,0)+IF(COUNTIF(AM171:AM174,TRUE)&gt;=1,1,0)+IF(COUNTIF(AM175:AM178,TRUE)&gt;=1,1,0))&gt;=3,"○","×"),IF(COUNTIF(AM154:AM178,TRUE)&gt;=1,"○","×"))</f>
        <v>○</v>
      </c>
      <c r="AL153" s="156"/>
      <c r="AM153" s="339" t="s">
        <v>2093</v>
      </c>
      <c r="AN153" s="586" t="s">
        <v>2014</v>
      </c>
      <c r="AO153" s="587"/>
      <c r="AP153" s="587"/>
      <c r="AQ153" s="587"/>
      <c r="AR153" s="587"/>
      <c r="AS153" s="587"/>
      <c r="AT153" s="587"/>
      <c r="AU153" s="587"/>
      <c r="AV153" s="587"/>
      <c r="AW153" s="587"/>
      <c r="AX153" s="587"/>
      <c r="AY153" s="587"/>
      <c r="AZ153" s="587"/>
      <c r="BA153" s="587"/>
      <c r="BB153" s="587"/>
      <c r="BC153" s="588"/>
    </row>
    <row r="154" spans="1:55" s="157" customFormat="1" ht="14.25" customHeight="1">
      <c r="A154" s="156"/>
      <c r="B154" s="794" t="s">
        <v>136</v>
      </c>
      <c r="C154" s="786"/>
      <c r="D154" s="786"/>
      <c r="E154" s="804"/>
      <c r="F154" s="340"/>
      <c r="G154" s="808" t="s">
        <v>2213</v>
      </c>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c r="AK154" s="809"/>
      <c r="AL154" s="156"/>
      <c r="AM154" s="1245" t="b">
        <v>1</v>
      </c>
      <c r="AN154" s="506"/>
      <c r="AO154" s="506"/>
      <c r="AP154" s="506"/>
      <c r="AQ154" s="506"/>
      <c r="AR154" s="506"/>
      <c r="AS154" s="506"/>
      <c r="AT154" s="506"/>
      <c r="AU154" s="506"/>
      <c r="AV154" s="506"/>
      <c r="AW154" s="506"/>
      <c r="AX154" s="506"/>
      <c r="AY154" s="506"/>
      <c r="AZ154" s="506"/>
      <c r="BA154" s="506"/>
      <c r="BB154" s="506"/>
      <c r="BC154" s="506"/>
    </row>
    <row r="155" spans="1:55" s="157" customFormat="1" ht="13.5" customHeight="1">
      <c r="A155" s="156"/>
      <c r="B155" s="805"/>
      <c r="C155" s="787"/>
      <c r="D155" s="787"/>
      <c r="E155" s="806"/>
      <c r="F155" s="341"/>
      <c r="G155" s="810" t="s">
        <v>137</v>
      </c>
      <c r="H155" s="810"/>
      <c r="I155" s="810"/>
      <c r="J155" s="810"/>
      <c r="K155" s="810"/>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0"/>
      <c r="AJ155" s="810"/>
      <c r="AK155" s="342"/>
      <c r="AL155" s="156"/>
      <c r="AM155" s="1245" t="b">
        <v>0</v>
      </c>
      <c r="AN155" s="811"/>
      <c r="AO155" s="811"/>
      <c r="AP155" s="811"/>
      <c r="AQ155" s="811"/>
      <c r="AR155" s="811"/>
      <c r="AS155" s="811"/>
      <c r="AT155" s="811"/>
      <c r="AU155" s="811"/>
      <c r="AV155" s="811"/>
      <c r="AW155" s="811"/>
      <c r="AX155" s="811"/>
      <c r="AY155" s="811"/>
      <c r="AZ155" s="811"/>
      <c r="BA155" s="811"/>
      <c r="BB155" s="811"/>
      <c r="BC155" s="811"/>
    </row>
    <row r="156" spans="1:55" s="157" customFormat="1" ht="13.5" customHeight="1">
      <c r="A156" s="156"/>
      <c r="B156" s="805"/>
      <c r="C156" s="787"/>
      <c r="D156" s="787"/>
      <c r="E156" s="806"/>
      <c r="F156" s="341"/>
      <c r="G156" s="810" t="s">
        <v>138</v>
      </c>
      <c r="H156" s="810"/>
      <c r="I156" s="810"/>
      <c r="J156" s="810"/>
      <c r="K156" s="810"/>
      <c r="L156" s="810"/>
      <c r="M156" s="810"/>
      <c r="N156" s="810"/>
      <c r="O156" s="810"/>
      <c r="P156" s="810"/>
      <c r="Q156" s="810"/>
      <c r="R156" s="810"/>
      <c r="S156" s="810"/>
      <c r="T156" s="810"/>
      <c r="U156" s="810"/>
      <c r="V156" s="810"/>
      <c r="W156" s="810"/>
      <c r="X156" s="810"/>
      <c r="Y156" s="810"/>
      <c r="Z156" s="810"/>
      <c r="AA156" s="810"/>
      <c r="AB156" s="810"/>
      <c r="AC156" s="810"/>
      <c r="AD156" s="810"/>
      <c r="AE156" s="810"/>
      <c r="AF156" s="810"/>
      <c r="AG156" s="810"/>
      <c r="AH156" s="810"/>
      <c r="AI156" s="810"/>
      <c r="AJ156" s="810"/>
      <c r="AK156" s="342"/>
      <c r="AL156" s="156"/>
      <c r="AM156" s="1245" t="b">
        <v>0</v>
      </c>
      <c r="AN156" s="811"/>
      <c r="AO156" s="811"/>
      <c r="AP156" s="811"/>
      <c r="AQ156" s="811"/>
      <c r="AR156" s="811"/>
      <c r="AS156" s="811"/>
      <c r="AT156" s="811"/>
      <c r="AU156" s="811"/>
      <c r="AV156" s="811"/>
      <c r="AW156" s="811"/>
      <c r="AX156" s="811"/>
      <c r="AY156" s="811"/>
      <c r="AZ156" s="811"/>
      <c r="BA156" s="811"/>
      <c r="BB156" s="811"/>
      <c r="BC156" s="811"/>
    </row>
    <row r="157" spans="1:55" s="157" customFormat="1" ht="13.5" customHeight="1">
      <c r="A157" s="156"/>
      <c r="B157" s="795"/>
      <c r="C157" s="796"/>
      <c r="D157" s="796"/>
      <c r="E157" s="807"/>
      <c r="F157" s="343"/>
      <c r="G157" s="812" t="s">
        <v>139</v>
      </c>
      <c r="H157" s="812"/>
      <c r="I157" s="812"/>
      <c r="J157" s="812"/>
      <c r="K157" s="812"/>
      <c r="L157" s="812"/>
      <c r="M157" s="812"/>
      <c r="N157" s="812"/>
      <c r="O157" s="812"/>
      <c r="P157" s="812"/>
      <c r="Q157" s="812"/>
      <c r="R157" s="812"/>
      <c r="S157" s="812"/>
      <c r="T157" s="812"/>
      <c r="U157" s="812"/>
      <c r="V157" s="812"/>
      <c r="W157" s="812"/>
      <c r="X157" s="812"/>
      <c r="Y157" s="812"/>
      <c r="Z157" s="812"/>
      <c r="AA157" s="812"/>
      <c r="AB157" s="812"/>
      <c r="AC157" s="812"/>
      <c r="AD157" s="812"/>
      <c r="AE157" s="812"/>
      <c r="AF157" s="812"/>
      <c r="AG157" s="812"/>
      <c r="AH157" s="812"/>
      <c r="AI157" s="812"/>
      <c r="AJ157" s="812"/>
      <c r="AK157" s="344"/>
      <c r="AL157" s="156"/>
      <c r="AM157" s="1245" t="b">
        <v>0</v>
      </c>
      <c r="AN157" s="506"/>
      <c r="AO157" s="506"/>
      <c r="AP157" s="506"/>
      <c r="AQ157" s="506"/>
      <c r="AR157" s="506"/>
      <c r="AS157" s="506"/>
      <c r="AT157" s="506"/>
      <c r="AU157" s="506"/>
      <c r="AV157" s="506"/>
      <c r="AW157" s="506"/>
      <c r="AX157" s="506"/>
      <c r="AY157" s="506"/>
      <c r="AZ157" s="506"/>
      <c r="BA157" s="506"/>
      <c r="BB157" s="506"/>
      <c r="BC157" s="506"/>
    </row>
    <row r="158" spans="1:55" s="157" customFormat="1" ht="24.75" customHeight="1">
      <c r="A158" s="156"/>
      <c r="B158" s="794" t="s">
        <v>140</v>
      </c>
      <c r="C158" s="786"/>
      <c r="D158" s="786"/>
      <c r="E158" s="804"/>
      <c r="F158" s="345"/>
      <c r="G158" s="820" t="s">
        <v>2219</v>
      </c>
      <c r="H158" s="820"/>
      <c r="I158" s="820"/>
      <c r="J158" s="820"/>
      <c r="K158" s="820"/>
      <c r="L158" s="820"/>
      <c r="M158" s="820"/>
      <c r="N158" s="820"/>
      <c r="O158" s="820"/>
      <c r="P158" s="820"/>
      <c r="Q158" s="820"/>
      <c r="R158" s="820"/>
      <c r="S158" s="820"/>
      <c r="T158" s="820"/>
      <c r="U158" s="820"/>
      <c r="V158" s="820"/>
      <c r="W158" s="820"/>
      <c r="X158" s="820"/>
      <c r="Y158" s="820"/>
      <c r="Z158" s="820"/>
      <c r="AA158" s="820"/>
      <c r="AB158" s="820"/>
      <c r="AC158" s="820"/>
      <c r="AD158" s="820"/>
      <c r="AE158" s="820"/>
      <c r="AF158" s="820"/>
      <c r="AG158" s="820"/>
      <c r="AH158" s="820"/>
      <c r="AI158" s="820"/>
      <c r="AJ158" s="820"/>
      <c r="AK158" s="346"/>
      <c r="AL158" s="156"/>
      <c r="AM158" s="1245" t="b">
        <v>0</v>
      </c>
      <c r="AN158" s="506"/>
      <c r="AO158" s="506"/>
      <c r="AP158" s="506"/>
      <c r="AQ158" s="506"/>
      <c r="AR158" s="506"/>
      <c r="AS158" s="506"/>
      <c r="AT158" s="506"/>
      <c r="AU158" s="506"/>
      <c r="AV158" s="506"/>
      <c r="AW158" s="506"/>
      <c r="AX158" s="506"/>
      <c r="AY158" s="506"/>
      <c r="AZ158" s="506"/>
      <c r="BA158" s="506"/>
      <c r="BB158" s="506"/>
      <c r="BC158" s="506"/>
    </row>
    <row r="159" spans="1:55" s="157" customFormat="1" ht="13.5" customHeight="1">
      <c r="A159" s="156"/>
      <c r="B159" s="805"/>
      <c r="C159" s="787"/>
      <c r="D159" s="787"/>
      <c r="E159" s="806"/>
      <c r="F159" s="341"/>
      <c r="G159" s="810" t="s">
        <v>141</v>
      </c>
      <c r="H159" s="810"/>
      <c r="I159" s="810"/>
      <c r="J159" s="810"/>
      <c r="K159" s="810"/>
      <c r="L159" s="810"/>
      <c r="M159" s="810"/>
      <c r="N159" s="810"/>
      <c r="O159" s="810"/>
      <c r="P159" s="810"/>
      <c r="Q159" s="810"/>
      <c r="R159" s="810"/>
      <c r="S159" s="810"/>
      <c r="T159" s="810"/>
      <c r="U159" s="810"/>
      <c r="V159" s="810"/>
      <c r="W159" s="810"/>
      <c r="X159" s="810"/>
      <c r="Y159" s="810"/>
      <c r="Z159" s="810"/>
      <c r="AA159" s="810"/>
      <c r="AB159" s="810"/>
      <c r="AC159" s="810"/>
      <c r="AD159" s="810"/>
      <c r="AE159" s="810"/>
      <c r="AF159" s="810"/>
      <c r="AG159" s="810"/>
      <c r="AH159" s="810"/>
      <c r="AI159" s="810"/>
      <c r="AJ159" s="810"/>
      <c r="AK159" s="347"/>
      <c r="AL159" s="156"/>
      <c r="AM159" s="1245" t="b">
        <v>0</v>
      </c>
      <c r="AN159" s="811"/>
      <c r="AO159" s="811"/>
      <c r="AP159" s="811"/>
      <c r="AQ159" s="811"/>
      <c r="AR159" s="811"/>
      <c r="AS159" s="811"/>
      <c r="AT159" s="811"/>
      <c r="AU159" s="811"/>
      <c r="AV159" s="811"/>
      <c r="AW159" s="811"/>
      <c r="AX159" s="811"/>
      <c r="AY159" s="811"/>
      <c r="AZ159" s="811"/>
      <c r="BA159" s="811"/>
      <c r="BB159" s="811"/>
      <c r="BC159" s="811"/>
    </row>
    <row r="160" spans="1:55" s="157" customFormat="1" ht="13.5" customHeight="1">
      <c r="A160" s="156"/>
      <c r="B160" s="805"/>
      <c r="C160" s="787"/>
      <c r="D160" s="787"/>
      <c r="E160" s="806"/>
      <c r="F160" s="341"/>
      <c r="G160" s="810" t="s">
        <v>142</v>
      </c>
      <c r="H160" s="810"/>
      <c r="I160" s="810"/>
      <c r="J160" s="810"/>
      <c r="K160" s="810"/>
      <c r="L160" s="810"/>
      <c r="M160" s="810"/>
      <c r="N160" s="810"/>
      <c r="O160" s="810"/>
      <c r="P160" s="810"/>
      <c r="Q160" s="810"/>
      <c r="R160" s="810"/>
      <c r="S160" s="810"/>
      <c r="T160" s="810"/>
      <c r="U160" s="810"/>
      <c r="V160" s="810"/>
      <c r="W160" s="810"/>
      <c r="X160" s="810"/>
      <c r="Y160" s="810"/>
      <c r="Z160" s="810"/>
      <c r="AA160" s="810"/>
      <c r="AB160" s="810"/>
      <c r="AC160" s="810"/>
      <c r="AD160" s="810"/>
      <c r="AE160" s="810"/>
      <c r="AF160" s="810"/>
      <c r="AG160" s="810"/>
      <c r="AH160" s="810"/>
      <c r="AI160" s="810"/>
      <c r="AJ160" s="810"/>
      <c r="AK160" s="342"/>
      <c r="AL160" s="156"/>
      <c r="AM160" s="1245" t="b">
        <v>0</v>
      </c>
      <c r="AN160" s="811"/>
      <c r="AO160" s="811"/>
      <c r="AP160" s="811"/>
      <c r="AQ160" s="811"/>
      <c r="AR160" s="811"/>
      <c r="AS160" s="811"/>
      <c r="AT160" s="811"/>
      <c r="AU160" s="811"/>
      <c r="AV160" s="811"/>
      <c r="AW160" s="811"/>
      <c r="AX160" s="811"/>
      <c r="AY160" s="811"/>
      <c r="AZ160" s="811"/>
      <c r="BA160" s="811"/>
      <c r="BB160" s="811"/>
      <c r="BC160" s="811"/>
    </row>
    <row r="161" spans="1:55" s="157" customFormat="1" ht="13.5" customHeight="1">
      <c r="A161" s="156"/>
      <c r="B161" s="795"/>
      <c r="C161" s="796"/>
      <c r="D161" s="796"/>
      <c r="E161" s="807"/>
      <c r="F161" s="348"/>
      <c r="G161" s="822" t="s">
        <v>143</v>
      </c>
      <c r="H161" s="822"/>
      <c r="I161" s="822"/>
      <c r="J161" s="822"/>
      <c r="K161" s="822"/>
      <c r="L161" s="822"/>
      <c r="M161" s="822"/>
      <c r="N161" s="822"/>
      <c r="O161" s="822"/>
      <c r="P161" s="822"/>
      <c r="Q161" s="822"/>
      <c r="R161" s="822"/>
      <c r="S161" s="822"/>
      <c r="T161" s="822"/>
      <c r="U161" s="822"/>
      <c r="V161" s="822"/>
      <c r="W161" s="822"/>
      <c r="X161" s="822"/>
      <c r="Y161" s="822"/>
      <c r="Z161" s="822"/>
      <c r="AA161" s="822"/>
      <c r="AB161" s="822"/>
      <c r="AC161" s="822"/>
      <c r="AD161" s="822"/>
      <c r="AE161" s="822"/>
      <c r="AF161" s="822"/>
      <c r="AG161" s="822"/>
      <c r="AH161" s="822"/>
      <c r="AI161" s="822"/>
      <c r="AJ161" s="822"/>
      <c r="AK161" s="823"/>
      <c r="AL161" s="156"/>
      <c r="AM161" s="1245" t="b">
        <v>0</v>
      </c>
      <c r="AN161" s="506"/>
      <c r="AO161" s="506"/>
      <c r="AP161" s="506"/>
      <c r="AQ161" s="506"/>
      <c r="AR161" s="506"/>
      <c r="AS161" s="506"/>
      <c r="AT161" s="506"/>
      <c r="AU161" s="506"/>
      <c r="AV161" s="506"/>
      <c r="AW161" s="506"/>
      <c r="AX161" s="506"/>
      <c r="AY161" s="506"/>
      <c r="AZ161" s="506"/>
      <c r="BA161" s="506"/>
      <c r="BB161" s="506"/>
      <c r="BC161" s="506"/>
    </row>
    <row r="162" spans="1:55" s="157" customFormat="1" ht="13.5" customHeight="1">
      <c r="A162" s="156"/>
      <c r="B162" s="794" t="s">
        <v>144</v>
      </c>
      <c r="C162" s="786"/>
      <c r="D162" s="786"/>
      <c r="E162" s="804"/>
      <c r="F162" s="349"/>
      <c r="G162" s="820" t="s">
        <v>145</v>
      </c>
      <c r="H162" s="820"/>
      <c r="I162" s="820"/>
      <c r="J162" s="820"/>
      <c r="K162" s="820"/>
      <c r="L162" s="820"/>
      <c r="M162" s="820"/>
      <c r="N162" s="820"/>
      <c r="O162" s="820"/>
      <c r="P162" s="820"/>
      <c r="Q162" s="820"/>
      <c r="R162" s="820"/>
      <c r="S162" s="820"/>
      <c r="T162" s="820"/>
      <c r="U162" s="820"/>
      <c r="V162" s="820"/>
      <c r="W162" s="820"/>
      <c r="X162" s="820"/>
      <c r="Y162" s="820"/>
      <c r="Z162" s="820"/>
      <c r="AA162" s="820"/>
      <c r="AB162" s="820"/>
      <c r="AC162" s="820"/>
      <c r="AD162" s="820"/>
      <c r="AE162" s="820"/>
      <c r="AF162" s="820"/>
      <c r="AG162" s="820"/>
      <c r="AH162" s="820"/>
      <c r="AI162" s="820"/>
      <c r="AJ162" s="820"/>
      <c r="AK162" s="347"/>
      <c r="AL162" s="156"/>
      <c r="AM162" s="1245" t="b">
        <v>0</v>
      </c>
      <c r="AN162" s="506"/>
      <c r="AO162" s="506"/>
      <c r="AP162" s="506"/>
      <c r="AQ162" s="506"/>
      <c r="AR162" s="506"/>
      <c r="AS162" s="506"/>
      <c r="AT162" s="506"/>
      <c r="AU162" s="506"/>
      <c r="AV162" s="506"/>
      <c r="AW162" s="506"/>
      <c r="AX162" s="506"/>
      <c r="AY162" s="506"/>
      <c r="AZ162" s="506"/>
      <c r="BA162" s="506"/>
      <c r="BB162" s="506"/>
      <c r="BC162" s="506"/>
    </row>
    <row r="163" spans="1:55" s="157" customFormat="1" ht="22.5" customHeight="1">
      <c r="A163" s="156"/>
      <c r="B163" s="805"/>
      <c r="C163" s="787"/>
      <c r="D163" s="787"/>
      <c r="E163" s="806"/>
      <c r="F163" s="341"/>
      <c r="G163" s="810" t="s">
        <v>146</v>
      </c>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342"/>
      <c r="AL163" s="156"/>
      <c r="AM163" s="1245" t="b">
        <v>0</v>
      </c>
      <c r="AN163" s="811"/>
      <c r="AO163" s="811"/>
      <c r="AP163" s="811"/>
      <c r="AQ163" s="811"/>
      <c r="AR163" s="811"/>
      <c r="AS163" s="811"/>
      <c r="AT163" s="811"/>
      <c r="AU163" s="811"/>
      <c r="AV163" s="811"/>
      <c r="AW163" s="811"/>
      <c r="AX163" s="811"/>
      <c r="AY163" s="811"/>
      <c r="AZ163" s="811"/>
      <c r="BA163" s="811"/>
      <c r="BB163" s="811"/>
      <c r="BC163" s="811"/>
    </row>
    <row r="164" spans="1:55" s="157" customFormat="1" ht="13.5" customHeight="1">
      <c r="A164" s="156"/>
      <c r="B164" s="805"/>
      <c r="C164" s="787"/>
      <c r="D164" s="787"/>
      <c r="E164" s="806"/>
      <c r="F164" s="341"/>
      <c r="G164" s="810" t="s">
        <v>147</v>
      </c>
      <c r="H164" s="810"/>
      <c r="I164" s="810"/>
      <c r="J164" s="810"/>
      <c r="K164" s="810"/>
      <c r="L164" s="810"/>
      <c r="M164" s="810"/>
      <c r="N164" s="810"/>
      <c r="O164" s="810"/>
      <c r="P164" s="810"/>
      <c r="Q164" s="810"/>
      <c r="R164" s="810"/>
      <c r="S164" s="810"/>
      <c r="T164" s="810"/>
      <c r="U164" s="810"/>
      <c r="V164" s="810"/>
      <c r="W164" s="810"/>
      <c r="X164" s="810"/>
      <c r="Y164" s="810"/>
      <c r="Z164" s="810"/>
      <c r="AA164" s="810"/>
      <c r="AB164" s="810"/>
      <c r="AC164" s="810"/>
      <c r="AD164" s="810"/>
      <c r="AE164" s="810"/>
      <c r="AF164" s="810"/>
      <c r="AG164" s="810"/>
      <c r="AH164" s="810"/>
      <c r="AI164" s="810"/>
      <c r="AJ164" s="810"/>
      <c r="AK164" s="342"/>
      <c r="AL164" s="156"/>
      <c r="AM164" s="1245" t="b">
        <v>0</v>
      </c>
      <c r="AN164" s="811"/>
      <c r="AO164" s="811"/>
      <c r="AP164" s="811"/>
      <c r="AQ164" s="811"/>
      <c r="AR164" s="811"/>
      <c r="AS164" s="811"/>
      <c r="AT164" s="811"/>
      <c r="AU164" s="811"/>
      <c r="AV164" s="811"/>
      <c r="AW164" s="811"/>
      <c r="AX164" s="811"/>
      <c r="AY164" s="811"/>
      <c r="AZ164" s="811"/>
      <c r="BA164" s="811"/>
      <c r="BB164" s="811"/>
      <c r="BC164" s="811"/>
    </row>
    <row r="165" spans="1:55" s="157" customFormat="1" ht="13.5" customHeight="1">
      <c r="A165" s="156"/>
      <c r="B165" s="805"/>
      <c r="C165" s="787"/>
      <c r="D165" s="787"/>
      <c r="E165" s="806"/>
      <c r="F165" s="343"/>
      <c r="G165" s="411" t="s">
        <v>148</v>
      </c>
      <c r="H165" s="410"/>
      <c r="I165" s="410"/>
      <c r="J165" s="410"/>
      <c r="K165" s="410"/>
      <c r="L165" s="410"/>
      <c r="M165" s="410"/>
      <c r="N165" s="410"/>
      <c r="O165" s="410"/>
      <c r="P165" s="410"/>
      <c r="Q165" s="410"/>
      <c r="R165" s="410"/>
      <c r="S165" s="410"/>
      <c r="T165" s="410"/>
      <c r="U165" s="410"/>
      <c r="V165" s="410"/>
      <c r="W165" s="410"/>
      <c r="X165" s="410"/>
      <c r="Y165" s="410"/>
      <c r="Z165" s="410"/>
      <c r="AA165" s="410"/>
      <c r="AB165" s="410"/>
      <c r="AC165" s="410"/>
      <c r="AD165" s="410"/>
      <c r="AE165" s="410"/>
      <c r="AF165" s="410"/>
      <c r="AG165" s="410"/>
      <c r="AH165" s="410"/>
      <c r="AI165" s="410"/>
      <c r="AJ165" s="410"/>
      <c r="AK165" s="344"/>
      <c r="AL165" s="156"/>
      <c r="AM165" s="1245" t="b">
        <v>0</v>
      </c>
      <c r="AN165" s="518"/>
      <c r="AO165" s="518"/>
      <c r="AP165" s="518"/>
      <c r="AQ165" s="518"/>
      <c r="AR165" s="518"/>
      <c r="AS165" s="518"/>
      <c r="AT165" s="518"/>
      <c r="AU165" s="518"/>
      <c r="AV165" s="518"/>
      <c r="AW165" s="518"/>
      <c r="AX165" s="518"/>
      <c r="AY165" s="518"/>
      <c r="AZ165" s="518"/>
      <c r="BA165" s="518"/>
      <c r="BB165" s="518"/>
      <c r="BC165" s="518"/>
    </row>
    <row r="166" spans="1:55" s="157" customFormat="1" ht="13.5" customHeight="1">
      <c r="A166" s="156"/>
      <c r="B166" s="795"/>
      <c r="C166" s="796"/>
      <c r="D166" s="796"/>
      <c r="E166" s="807"/>
      <c r="F166" s="343"/>
      <c r="G166" s="821" t="s">
        <v>2212</v>
      </c>
      <c r="H166" s="821"/>
      <c r="I166" s="821"/>
      <c r="J166" s="821"/>
      <c r="K166" s="821"/>
      <c r="L166" s="821"/>
      <c r="M166" s="821"/>
      <c r="N166" s="821"/>
      <c r="O166" s="821"/>
      <c r="P166" s="821"/>
      <c r="Q166" s="821"/>
      <c r="R166" s="821"/>
      <c r="S166" s="821"/>
      <c r="T166" s="821"/>
      <c r="U166" s="821"/>
      <c r="V166" s="821"/>
      <c r="W166" s="821"/>
      <c r="X166" s="821"/>
      <c r="Y166" s="821"/>
      <c r="Z166" s="821"/>
      <c r="AA166" s="821"/>
      <c r="AB166" s="821"/>
      <c r="AC166" s="821"/>
      <c r="AD166" s="821"/>
      <c r="AE166" s="821"/>
      <c r="AF166" s="821"/>
      <c r="AG166" s="821"/>
      <c r="AH166" s="821"/>
      <c r="AI166" s="821"/>
      <c r="AJ166" s="821"/>
      <c r="AK166" s="350"/>
      <c r="AL166" s="156"/>
      <c r="AM166" s="1245" t="b">
        <v>0</v>
      </c>
      <c r="AN166" s="506"/>
      <c r="AO166" s="506"/>
      <c r="AP166" s="506"/>
      <c r="AQ166" s="506"/>
      <c r="AR166" s="506"/>
      <c r="AS166" s="506"/>
      <c r="AT166" s="506"/>
      <c r="AU166" s="506"/>
      <c r="AV166" s="506"/>
      <c r="AW166" s="506"/>
      <c r="AX166" s="506"/>
      <c r="AY166" s="506"/>
      <c r="AZ166" s="506"/>
      <c r="BA166" s="506"/>
      <c r="BB166" s="506"/>
      <c r="BC166" s="506"/>
    </row>
    <row r="167" spans="1:55" s="157" customFormat="1" ht="21" customHeight="1">
      <c r="A167" s="156"/>
      <c r="B167" s="794" t="s">
        <v>149</v>
      </c>
      <c r="C167" s="786"/>
      <c r="D167" s="786"/>
      <c r="E167" s="804"/>
      <c r="F167" s="345"/>
      <c r="G167" s="826" t="s">
        <v>2218</v>
      </c>
      <c r="H167" s="826"/>
      <c r="I167" s="826"/>
      <c r="J167" s="826"/>
      <c r="K167" s="826"/>
      <c r="L167" s="826"/>
      <c r="M167" s="826"/>
      <c r="N167" s="826"/>
      <c r="O167" s="826"/>
      <c r="P167" s="826"/>
      <c r="Q167" s="826"/>
      <c r="R167" s="826"/>
      <c r="S167" s="826"/>
      <c r="T167" s="826"/>
      <c r="U167" s="826"/>
      <c r="V167" s="826"/>
      <c r="W167" s="826"/>
      <c r="X167" s="826"/>
      <c r="Y167" s="826"/>
      <c r="Z167" s="826"/>
      <c r="AA167" s="826"/>
      <c r="AB167" s="826"/>
      <c r="AC167" s="826"/>
      <c r="AD167" s="826"/>
      <c r="AE167" s="826"/>
      <c r="AF167" s="826"/>
      <c r="AG167" s="826"/>
      <c r="AH167" s="826"/>
      <c r="AI167" s="826"/>
      <c r="AJ167" s="826"/>
      <c r="AK167" s="347"/>
      <c r="AL167" s="156"/>
      <c r="AM167" s="1245" t="b">
        <v>1</v>
      </c>
      <c r="AN167" s="506"/>
      <c r="AO167" s="506"/>
      <c r="AP167" s="506"/>
      <c r="AQ167" s="506"/>
      <c r="AR167" s="506"/>
      <c r="AS167" s="506"/>
      <c r="AT167" s="506"/>
      <c r="AU167" s="506"/>
      <c r="AV167" s="506"/>
      <c r="AW167" s="506"/>
      <c r="AX167" s="506"/>
      <c r="AY167" s="506"/>
      <c r="AZ167" s="506"/>
      <c r="BA167" s="506"/>
      <c r="BB167" s="506"/>
      <c r="BC167" s="506"/>
    </row>
    <row r="168" spans="1:55" s="157" customFormat="1" ht="13.5" customHeight="1">
      <c r="A168" s="156"/>
      <c r="B168" s="805"/>
      <c r="C168" s="787"/>
      <c r="D168" s="787"/>
      <c r="E168" s="806"/>
      <c r="F168" s="341"/>
      <c r="G168" s="825" t="s">
        <v>150</v>
      </c>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825"/>
      <c r="AK168" s="347"/>
      <c r="AL168" s="147"/>
      <c r="AM168" s="1245" t="b">
        <v>0</v>
      </c>
      <c r="AN168" s="811"/>
      <c r="AO168" s="811"/>
      <c r="AP168" s="811"/>
      <c r="AQ168" s="811"/>
      <c r="AR168" s="811"/>
      <c r="AS168" s="811"/>
      <c r="AT168" s="811"/>
      <c r="AU168" s="811"/>
      <c r="AV168" s="811"/>
      <c r="AW168" s="811"/>
      <c r="AX168" s="811"/>
      <c r="AY168" s="811"/>
      <c r="AZ168" s="811"/>
      <c r="BA168" s="811"/>
      <c r="BB168" s="811"/>
      <c r="BC168" s="811"/>
    </row>
    <row r="169" spans="1:55" s="157" customFormat="1" ht="13.5" customHeight="1">
      <c r="A169" s="156"/>
      <c r="B169" s="805"/>
      <c r="C169" s="787"/>
      <c r="D169" s="787"/>
      <c r="E169" s="806"/>
      <c r="F169" s="341"/>
      <c r="G169" s="825" t="s">
        <v>151</v>
      </c>
      <c r="H169" s="825"/>
      <c r="I169" s="825"/>
      <c r="J169" s="825"/>
      <c r="K169" s="825"/>
      <c r="L169" s="825"/>
      <c r="M169" s="825"/>
      <c r="N169" s="82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c r="AJ169" s="825"/>
      <c r="AK169" s="351"/>
      <c r="AL169" s="156"/>
      <c r="AM169" s="1245" t="b">
        <v>0</v>
      </c>
      <c r="AN169" s="811"/>
      <c r="AO169" s="811"/>
      <c r="AP169" s="811"/>
      <c r="AQ169" s="811"/>
      <c r="AR169" s="811"/>
      <c r="AS169" s="811"/>
      <c r="AT169" s="811"/>
      <c r="AU169" s="811"/>
      <c r="AV169" s="811"/>
      <c r="AW169" s="811"/>
      <c r="AX169" s="811"/>
      <c r="AY169" s="811"/>
      <c r="AZ169" s="811"/>
      <c r="BA169" s="811"/>
      <c r="BB169" s="811"/>
      <c r="BC169" s="811"/>
    </row>
    <row r="170" spans="1:55" s="157" customFormat="1" ht="13.5" customHeight="1">
      <c r="A170" s="156"/>
      <c r="B170" s="795"/>
      <c r="C170" s="796"/>
      <c r="D170" s="796"/>
      <c r="E170" s="807"/>
      <c r="F170" s="348"/>
      <c r="G170" s="821" t="s">
        <v>152</v>
      </c>
      <c r="H170" s="821"/>
      <c r="I170" s="821"/>
      <c r="J170" s="821"/>
      <c r="K170" s="821"/>
      <c r="L170" s="821"/>
      <c r="M170" s="821"/>
      <c r="N170" s="821"/>
      <c r="O170" s="821"/>
      <c r="P170" s="821"/>
      <c r="Q170" s="821"/>
      <c r="R170" s="821"/>
      <c r="S170" s="821"/>
      <c r="T170" s="821"/>
      <c r="U170" s="821"/>
      <c r="V170" s="821"/>
      <c r="W170" s="821"/>
      <c r="X170" s="821"/>
      <c r="Y170" s="821"/>
      <c r="Z170" s="821"/>
      <c r="AA170" s="821"/>
      <c r="AB170" s="821"/>
      <c r="AC170" s="821"/>
      <c r="AD170" s="821"/>
      <c r="AE170" s="821"/>
      <c r="AF170" s="821"/>
      <c r="AG170" s="821"/>
      <c r="AH170" s="821"/>
      <c r="AI170" s="821"/>
      <c r="AJ170" s="821"/>
      <c r="AK170" s="823"/>
      <c r="AL170" s="156"/>
      <c r="AM170" s="1245" t="b">
        <v>0</v>
      </c>
      <c r="AN170" s="506"/>
      <c r="AO170" s="506"/>
      <c r="AP170" s="506"/>
      <c r="AQ170" s="506"/>
      <c r="AR170" s="506"/>
      <c r="AS170" s="506"/>
      <c r="AT170" s="506"/>
      <c r="AU170" s="506"/>
      <c r="AV170" s="506"/>
      <c r="AW170" s="506"/>
      <c r="AX170" s="506"/>
      <c r="AY170" s="506"/>
      <c r="AZ170" s="506"/>
      <c r="BA170" s="506"/>
      <c r="BB170" s="506"/>
      <c r="BC170" s="506"/>
    </row>
    <row r="171" spans="1:55" s="157" customFormat="1" ht="13.5" customHeight="1">
      <c r="A171" s="156"/>
      <c r="B171" s="794" t="s">
        <v>153</v>
      </c>
      <c r="C171" s="786"/>
      <c r="D171" s="786"/>
      <c r="E171" s="804"/>
      <c r="F171" s="349"/>
      <c r="G171" s="824" t="s">
        <v>154</v>
      </c>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347"/>
      <c r="AL171" s="156"/>
      <c r="AM171" s="1245" t="b">
        <v>1</v>
      </c>
      <c r="AN171" s="506"/>
      <c r="AO171" s="506"/>
      <c r="AP171" s="506"/>
      <c r="AQ171" s="506"/>
      <c r="AR171" s="506"/>
      <c r="AS171" s="506"/>
      <c r="AT171" s="506"/>
      <c r="AU171" s="506"/>
      <c r="AV171" s="506"/>
      <c r="AW171" s="506"/>
      <c r="AX171" s="506"/>
      <c r="AY171" s="506"/>
      <c r="AZ171" s="506"/>
      <c r="BA171" s="506"/>
      <c r="BB171" s="506"/>
      <c r="BC171" s="506"/>
    </row>
    <row r="172" spans="1:55" s="157" customFormat="1" ht="21" customHeight="1">
      <c r="A172" s="156"/>
      <c r="B172" s="805"/>
      <c r="C172" s="787"/>
      <c r="D172" s="787"/>
      <c r="E172" s="806"/>
      <c r="F172" s="341"/>
      <c r="G172" s="825" t="s">
        <v>155</v>
      </c>
      <c r="H172" s="825"/>
      <c r="I172" s="825"/>
      <c r="J172" s="825"/>
      <c r="K172" s="825"/>
      <c r="L172" s="825"/>
      <c r="M172" s="825"/>
      <c r="N172" s="825"/>
      <c r="O172" s="825"/>
      <c r="P172" s="825"/>
      <c r="Q172" s="825"/>
      <c r="R172" s="825"/>
      <c r="S172" s="825"/>
      <c r="T172" s="825"/>
      <c r="U172" s="825"/>
      <c r="V172" s="825"/>
      <c r="W172" s="825"/>
      <c r="X172" s="825"/>
      <c r="Y172" s="825"/>
      <c r="Z172" s="825"/>
      <c r="AA172" s="825"/>
      <c r="AB172" s="825"/>
      <c r="AC172" s="825"/>
      <c r="AD172" s="825"/>
      <c r="AE172" s="825"/>
      <c r="AF172" s="825"/>
      <c r="AG172" s="825"/>
      <c r="AH172" s="825"/>
      <c r="AI172" s="825"/>
      <c r="AJ172" s="825"/>
      <c r="AK172" s="342"/>
      <c r="AL172" s="156"/>
      <c r="AM172" s="1245" t="b">
        <v>1</v>
      </c>
      <c r="AN172" s="811"/>
      <c r="AO172" s="811"/>
      <c r="AP172" s="811"/>
      <c r="AQ172" s="811"/>
      <c r="AR172" s="811"/>
      <c r="AS172" s="811"/>
      <c r="AT172" s="811"/>
      <c r="AU172" s="811"/>
      <c r="AV172" s="811"/>
      <c r="AW172" s="811"/>
      <c r="AX172" s="811"/>
      <c r="AY172" s="811"/>
      <c r="AZ172" s="811"/>
      <c r="BA172" s="811"/>
      <c r="BB172" s="811"/>
      <c r="BC172" s="811"/>
    </row>
    <row r="173" spans="1:55" s="157" customFormat="1" ht="13.5" customHeight="1">
      <c r="A173" s="156"/>
      <c r="B173" s="805"/>
      <c r="C173" s="787"/>
      <c r="D173" s="787"/>
      <c r="E173" s="806"/>
      <c r="F173" s="341"/>
      <c r="G173" s="825" t="s">
        <v>156</v>
      </c>
      <c r="H173" s="825"/>
      <c r="I173" s="825"/>
      <c r="J173" s="825"/>
      <c r="K173" s="825"/>
      <c r="L173" s="825"/>
      <c r="M173" s="825"/>
      <c r="N173" s="825"/>
      <c r="O173" s="825"/>
      <c r="P173" s="825"/>
      <c r="Q173" s="825"/>
      <c r="R173" s="825"/>
      <c r="S173" s="825"/>
      <c r="T173" s="825"/>
      <c r="U173" s="825"/>
      <c r="V173" s="825"/>
      <c r="W173" s="825"/>
      <c r="X173" s="825"/>
      <c r="Y173" s="825"/>
      <c r="Z173" s="825"/>
      <c r="AA173" s="825"/>
      <c r="AB173" s="825"/>
      <c r="AC173" s="825"/>
      <c r="AD173" s="825"/>
      <c r="AE173" s="825"/>
      <c r="AF173" s="825"/>
      <c r="AG173" s="825"/>
      <c r="AH173" s="825"/>
      <c r="AI173" s="825"/>
      <c r="AJ173" s="825"/>
      <c r="AK173" s="342"/>
      <c r="AL173" s="156"/>
      <c r="AM173" s="1245" t="b">
        <v>0</v>
      </c>
      <c r="AN173" s="811"/>
      <c r="AO173" s="811"/>
      <c r="AP173" s="811"/>
      <c r="AQ173" s="811"/>
      <c r="AR173" s="811"/>
      <c r="AS173" s="811"/>
      <c r="AT173" s="811"/>
      <c r="AU173" s="811"/>
      <c r="AV173" s="811"/>
      <c r="AW173" s="811"/>
      <c r="AX173" s="811"/>
      <c r="AY173" s="811"/>
      <c r="AZ173" s="811"/>
      <c r="BA173" s="811"/>
      <c r="BB173" s="811"/>
      <c r="BC173" s="811"/>
    </row>
    <row r="174" spans="1:55" s="157" customFormat="1" ht="13.5" customHeight="1">
      <c r="A174" s="156"/>
      <c r="B174" s="795"/>
      <c r="C174" s="796"/>
      <c r="D174" s="796"/>
      <c r="E174" s="807"/>
      <c r="F174" s="348"/>
      <c r="G174" s="821" t="s">
        <v>157</v>
      </c>
      <c r="H174" s="821"/>
      <c r="I174" s="821"/>
      <c r="J174" s="821"/>
      <c r="K174" s="821"/>
      <c r="L174" s="821"/>
      <c r="M174" s="821"/>
      <c r="N174" s="821"/>
      <c r="O174" s="821"/>
      <c r="P174" s="821"/>
      <c r="Q174" s="821"/>
      <c r="R174" s="821"/>
      <c r="S174" s="821"/>
      <c r="T174" s="821"/>
      <c r="U174" s="821"/>
      <c r="V174" s="821"/>
      <c r="W174" s="821"/>
      <c r="X174" s="821"/>
      <c r="Y174" s="821"/>
      <c r="Z174" s="821"/>
      <c r="AA174" s="821"/>
      <c r="AB174" s="821"/>
      <c r="AC174" s="821"/>
      <c r="AD174" s="821"/>
      <c r="AE174" s="821"/>
      <c r="AF174" s="821"/>
      <c r="AG174" s="821"/>
      <c r="AH174" s="821"/>
      <c r="AI174" s="821"/>
      <c r="AJ174" s="821"/>
      <c r="AK174" s="350"/>
      <c r="AL174" s="156"/>
      <c r="AM174" s="1245" t="b">
        <v>0</v>
      </c>
      <c r="AN174" s="506"/>
      <c r="AO174" s="506"/>
      <c r="AP174" s="506"/>
      <c r="AQ174" s="506"/>
      <c r="AR174" s="506"/>
      <c r="AS174" s="506"/>
      <c r="AT174" s="506"/>
      <c r="AU174" s="506"/>
      <c r="AV174" s="506"/>
      <c r="AW174" s="506"/>
      <c r="AX174" s="506"/>
      <c r="AY174" s="506"/>
      <c r="AZ174" s="506"/>
      <c r="BA174" s="506"/>
      <c r="BB174" s="506"/>
      <c r="BC174" s="506"/>
    </row>
    <row r="175" spans="1:55" s="157" customFormat="1" ht="13.5" customHeight="1">
      <c r="A175" s="156"/>
      <c r="B175" s="794" t="s">
        <v>158</v>
      </c>
      <c r="C175" s="786"/>
      <c r="D175" s="786"/>
      <c r="E175" s="804"/>
      <c r="F175" s="349"/>
      <c r="G175" s="824" t="s">
        <v>2217</v>
      </c>
      <c r="H175" s="824"/>
      <c r="I175" s="824"/>
      <c r="J175" s="824"/>
      <c r="K175" s="824"/>
      <c r="L175" s="824"/>
      <c r="M175" s="824"/>
      <c r="N175" s="824"/>
      <c r="O175" s="824"/>
      <c r="P175" s="824"/>
      <c r="Q175" s="824"/>
      <c r="R175" s="824"/>
      <c r="S175" s="824"/>
      <c r="T175" s="824"/>
      <c r="U175" s="824"/>
      <c r="V175" s="824"/>
      <c r="W175" s="824"/>
      <c r="X175" s="824"/>
      <c r="Y175" s="824"/>
      <c r="Z175" s="824"/>
      <c r="AA175" s="824"/>
      <c r="AB175" s="824"/>
      <c r="AC175" s="824"/>
      <c r="AD175" s="824"/>
      <c r="AE175" s="824"/>
      <c r="AF175" s="824"/>
      <c r="AG175" s="824"/>
      <c r="AH175" s="824"/>
      <c r="AI175" s="824"/>
      <c r="AJ175" s="824"/>
      <c r="AK175" s="835"/>
      <c r="AL175" s="352"/>
      <c r="AM175" s="1245" t="b">
        <v>0</v>
      </c>
      <c r="AN175" s="507"/>
      <c r="AO175" s="507"/>
      <c r="AP175" s="507"/>
      <c r="AQ175" s="506"/>
      <c r="AR175" s="506"/>
      <c r="AS175" s="506"/>
      <c r="AT175" s="506"/>
      <c r="AU175" s="506"/>
      <c r="AV175" s="506"/>
      <c r="AW175" s="506"/>
      <c r="AX175" s="506"/>
      <c r="AY175" s="506"/>
      <c r="AZ175" s="506"/>
      <c r="BA175" s="506"/>
      <c r="BB175" s="506"/>
      <c r="BC175" s="506"/>
    </row>
    <row r="176" spans="1:55" ht="13.5" customHeight="1">
      <c r="A176" s="147"/>
      <c r="B176" s="805"/>
      <c r="C176" s="787"/>
      <c r="D176" s="787"/>
      <c r="E176" s="806"/>
      <c r="F176" s="341"/>
      <c r="G176" s="825" t="s">
        <v>159</v>
      </c>
      <c r="H176" s="825"/>
      <c r="I176" s="825"/>
      <c r="J176" s="825"/>
      <c r="K176" s="825"/>
      <c r="L176" s="825"/>
      <c r="M176" s="825"/>
      <c r="N176" s="825"/>
      <c r="O176" s="825"/>
      <c r="P176" s="825"/>
      <c r="Q176" s="825"/>
      <c r="R176" s="825"/>
      <c r="S176" s="825"/>
      <c r="T176" s="825"/>
      <c r="U176" s="825"/>
      <c r="V176" s="825"/>
      <c r="W176" s="825"/>
      <c r="X176" s="825"/>
      <c r="Y176" s="825"/>
      <c r="Z176" s="825"/>
      <c r="AA176" s="825"/>
      <c r="AB176" s="825"/>
      <c r="AC176" s="825"/>
      <c r="AD176" s="825"/>
      <c r="AE176" s="825"/>
      <c r="AF176" s="825"/>
      <c r="AG176" s="825"/>
      <c r="AH176" s="825"/>
      <c r="AI176" s="825"/>
      <c r="AJ176" s="825"/>
      <c r="AK176" s="342"/>
      <c r="AL176" s="156"/>
      <c r="AM176" s="1245" t="b">
        <v>0</v>
      </c>
      <c r="AN176" s="811"/>
      <c r="AO176" s="811"/>
      <c r="AP176" s="811"/>
      <c r="AQ176" s="811"/>
      <c r="AR176" s="811"/>
      <c r="AS176" s="811"/>
      <c r="AT176" s="811"/>
      <c r="AU176" s="811"/>
      <c r="AV176" s="811"/>
      <c r="AW176" s="811"/>
      <c r="AX176" s="811"/>
      <c r="AY176" s="811"/>
      <c r="AZ176" s="811"/>
      <c r="BA176" s="811"/>
      <c r="BB176" s="811"/>
      <c r="BC176" s="811"/>
    </row>
    <row r="177" spans="1:59" ht="13.5" customHeight="1">
      <c r="A177" s="147"/>
      <c r="B177" s="805"/>
      <c r="C177" s="787"/>
      <c r="D177" s="787"/>
      <c r="E177" s="806"/>
      <c r="F177" s="341"/>
      <c r="G177" s="825" t="s">
        <v>2216</v>
      </c>
      <c r="H177" s="825"/>
      <c r="I177" s="825"/>
      <c r="J177" s="825"/>
      <c r="K177" s="825"/>
      <c r="L177" s="825"/>
      <c r="M177" s="825"/>
      <c r="N177" s="825"/>
      <c r="O177" s="825"/>
      <c r="P177" s="825"/>
      <c r="Q177" s="825"/>
      <c r="R177" s="825"/>
      <c r="S177" s="825"/>
      <c r="T177" s="825"/>
      <c r="U177" s="825"/>
      <c r="V177" s="825"/>
      <c r="W177" s="825"/>
      <c r="X177" s="825"/>
      <c r="Y177" s="825"/>
      <c r="Z177" s="825"/>
      <c r="AA177" s="825"/>
      <c r="AB177" s="825"/>
      <c r="AC177" s="825"/>
      <c r="AD177" s="825"/>
      <c r="AE177" s="825"/>
      <c r="AF177" s="825"/>
      <c r="AG177" s="825"/>
      <c r="AH177" s="825"/>
      <c r="AI177" s="825"/>
      <c r="AJ177" s="825"/>
      <c r="AK177" s="342"/>
      <c r="AL177" s="156"/>
      <c r="AM177" s="1245" t="b">
        <v>0</v>
      </c>
      <c r="AN177" s="811"/>
      <c r="AO177" s="811"/>
      <c r="AP177" s="811"/>
      <c r="AQ177" s="811"/>
      <c r="AR177" s="811"/>
      <c r="AS177" s="811"/>
      <c r="AT177" s="811"/>
      <c r="AU177" s="811"/>
      <c r="AV177" s="811"/>
      <c r="AW177" s="811"/>
      <c r="AX177" s="811"/>
      <c r="AY177" s="811"/>
      <c r="AZ177" s="811"/>
      <c r="BA177" s="811"/>
      <c r="BB177" s="811"/>
      <c r="BC177" s="811"/>
    </row>
    <row r="178" spans="1:59" ht="13.5" customHeight="1" thickBot="1">
      <c r="A178" s="147"/>
      <c r="B178" s="795"/>
      <c r="C178" s="796"/>
      <c r="D178" s="796"/>
      <c r="E178" s="807"/>
      <c r="F178" s="353"/>
      <c r="G178" s="836" t="s">
        <v>2215</v>
      </c>
      <c r="H178" s="836"/>
      <c r="I178" s="836"/>
      <c r="J178" s="836"/>
      <c r="K178" s="836"/>
      <c r="L178" s="836"/>
      <c r="M178" s="836"/>
      <c r="N178" s="836"/>
      <c r="O178" s="836"/>
      <c r="P178" s="836"/>
      <c r="Q178" s="836"/>
      <c r="R178" s="836"/>
      <c r="S178" s="836"/>
      <c r="T178" s="836"/>
      <c r="U178" s="836"/>
      <c r="V178" s="836"/>
      <c r="W178" s="836"/>
      <c r="X178" s="836"/>
      <c r="Y178" s="836"/>
      <c r="Z178" s="836"/>
      <c r="AA178" s="836"/>
      <c r="AB178" s="836"/>
      <c r="AC178" s="836"/>
      <c r="AD178" s="836"/>
      <c r="AE178" s="836"/>
      <c r="AF178" s="836"/>
      <c r="AG178" s="836"/>
      <c r="AH178" s="836"/>
      <c r="AI178" s="836"/>
      <c r="AJ178" s="836"/>
      <c r="AK178" s="354"/>
      <c r="AL178" s="147"/>
      <c r="AM178" s="1245" t="b">
        <v>0</v>
      </c>
      <c r="AN178" s="507"/>
      <c r="AO178" s="507"/>
      <c r="AP178" s="507"/>
      <c r="AQ178" s="507"/>
      <c r="AR178" s="507"/>
      <c r="AS178" s="507"/>
      <c r="AT178" s="507"/>
      <c r="AU178" s="507"/>
      <c r="AV178" s="507"/>
      <c r="AW178" s="507"/>
      <c r="AX178" s="507"/>
      <c r="AY178" s="507"/>
      <c r="AZ178" s="507"/>
      <c r="BA178" s="507"/>
      <c r="BB178" s="507"/>
      <c r="BC178" s="507"/>
    </row>
    <row r="179" spans="1:59" ht="5.25" customHeight="1">
      <c r="A179" s="147"/>
      <c r="B179" s="355"/>
      <c r="C179" s="355"/>
      <c r="D179" s="355"/>
      <c r="E179" s="355"/>
      <c r="F179" s="355"/>
      <c r="G179" s="355"/>
      <c r="H179" s="355"/>
      <c r="I179" s="355"/>
      <c r="J179" s="355"/>
      <c r="K179" s="355"/>
      <c r="L179" s="355"/>
      <c r="M179" s="355"/>
      <c r="N179" s="355"/>
      <c r="O179" s="355"/>
      <c r="P179" s="355"/>
      <c r="Q179" s="355"/>
      <c r="R179" s="355"/>
      <c r="S179" s="355"/>
      <c r="T179" s="355"/>
      <c r="U179" s="355"/>
      <c r="V179" s="355"/>
      <c r="W179" s="355"/>
      <c r="X179" s="355"/>
      <c r="Y179" s="355"/>
      <c r="Z179" s="355"/>
      <c r="AA179" s="355"/>
      <c r="AB179" s="355"/>
      <c r="AC179" s="355"/>
      <c r="AD179" s="355"/>
      <c r="AE179" s="355"/>
      <c r="AF179" s="355"/>
      <c r="AG179" s="355"/>
      <c r="AH179" s="355"/>
      <c r="AI179" s="355"/>
      <c r="AJ179" s="355"/>
      <c r="AK179" s="355"/>
      <c r="AL179" s="147"/>
      <c r="AM179" s="356"/>
      <c r="AO179" s="356"/>
      <c r="AP179" s="356"/>
      <c r="AQ179" s="356"/>
      <c r="AR179" s="356"/>
      <c r="AS179" s="356"/>
      <c r="AT179" s="356"/>
      <c r="AU179" s="356"/>
      <c r="AV179" s="356"/>
      <c r="AW179" s="356"/>
      <c r="AX179" s="356"/>
      <c r="AY179" s="356"/>
      <c r="AZ179" s="356"/>
      <c r="BA179" s="356"/>
      <c r="BB179" s="356"/>
      <c r="BC179" s="356"/>
      <c r="BD179" s="356"/>
      <c r="BF179" s="356"/>
      <c r="BG179" s="356"/>
    </row>
    <row r="180" spans="1:59" s="358" customFormat="1" ht="16.5" customHeight="1" thickBot="1">
      <c r="A180" s="357"/>
      <c r="B180" s="656" t="s">
        <v>160</v>
      </c>
      <c r="C180" s="656"/>
      <c r="D180" s="656"/>
      <c r="E180" s="656"/>
      <c r="F180" s="656"/>
      <c r="G180" s="656"/>
      <c r="H180" s="656"/>
      <c r="I180" s="656"/>
      <c r="J180" s="656"/>
      <c r="K180" s="656"/>
      <c r="L180" s="656"/>
      <c r="M180" s="656"/>
      <c r="N180" s="656"/>
      <c r="O180" s="656"/>
      <c r="P180" s="656"/>
      <c r="Q180" s="656"/>
      <c r="R180" s="656"/>
      <c r="S180" s="656"/>
      <c r="T180" s="656"/>
      <c r="U180" s="656"/>
      <c r="V180" s="656"/>
      <c r="W180" s="656"/>
      <c r="X180" s="656"/>
      <c r="Y180" s="656"/>
      <c r="Z180" s="656"/>
      <c r="AA180" s="656"/>
      <c r="AB180" s="656"/>
      <c r="AC180" s="656"/>
      <c r="AD180" s="656"/>
      <c r="AE180" s="656"/>
      <c r="AF180" s="656"/>
      <c r="AG180" s="656"/>
      <c r="AH180" s="656"/>
      <c r="AI180" s="656"/>
      <c r="AJ180" s="656"/>
      <c r="AK180" s="656"/>
      <c r="AL180" s="252"/>
      <c r="AN180" s="359"/>
    </row>
    <row r="181" spans="1:59" s="356" customFormat="1" ht="12.75" customHeight="1" thickBot="1">
      <c r="A181" s="352"/>
      <c r="B181" s="360" t="s">
        <v>27</v>
      </c>
      <c r="C181" s="201" t="s">
        <v>161</v>
      </c>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515" t="str">
        <f>IF(AI147="該当","",IF(OR(AM182=TRUE,AM183=TRUE),"○","×"))</f>
        <v>○</v>
      </c>
      <c r="AL181" s="147"/>
    </row>
    <row r="182" spans="1:59" s="356" customFormat="1" ht="25.5" customHeight="1">
      <c r="A182" s="352"/>
      <c r="B182" s="849" t="s">
        <v>163</v>
      </c>
      <c r="C182" s="850"/>
      <c r="D182" s="850"/>
      <c r="E182" s="851" t="b">
        <v>0</v>
      </c>
      <c r="F182" s="340"/>
      <c r="G182" s="837" t="s">
        <v>2220</v>
      </c>
      <c r="H182" s="837"/>
      <c r="I182" s="837"/>
      <c r="J182" s="837"/>
      <c r="K182" s="837"/>
      <c r="L182" s="837"/>
      <c r="M182" s="837"/>
      <c r="N182" s="837"/>
      <c r="O182" s="837"/>
      <c r="P182" s="837"/>
      <c r="Q182" s="837"/>
      <c r="R182" s="837"/>
      <c r="S182" s="837"/>
      <c r="T182" s="837"/>
      <c r="U182" s="837"/>
      <c r="V182" s="837"/>
      <c r="W182" s="837"/>
      <c r="X182" s="837"/>
      <c r="Y182" s="837"/>
      <c r="Z182" s="837"/>
      <c r="AA182" s="837"/>
      <c r="AB182" s="837"/>
      <c r="AC182" s="837"/>
      <c r="AD182" s="837"/>
      <c r="AE182" s="837"/>
      <c r="AF182" s="837"/>
      <c r="AG182" s="837"/>
      <c r="AH182" s="837"/>
      <c r="AI182" s="837"/>
      <c r="AJ182" s="837"/>
      <c r="AK182" s="855"/>
      <c r="AL182" s="156"/>
      <c r="AM182" s="521" t="b">
        <v>1</v>
      </c>
      <c r="AN182" s="586" t="s">
        <v>162</v>
      </c>
      <c r="AO182" s="587"/>
      <c r="AP182" s="587"/>
      <c r="AQ182" s="587"/>
      <c r="AR182" s="587"/>
      <c r="AS182" s="587"/>
      <c r="AT182" s="587"/>
      <c r="AU182" s="587"/>
      <c r="AV182" s="587"/>
      <c r="AW182" s="587"/>
      <c r="AX182" s="587"/>
      <c r="AY182" s="587"/>
      <c r="AZ182" s="587"/>
      <c r="BA182" s="587"/>
      <c r="BB182" s="587"/>
      <c r="BC182" s="588"/>
    </row>
    <row r="183" spans="1:59" s="356" customFormat="1" ht="18.75" customHeight="1" thickBot="1">
      <c r="A183" s="352"/>
      <c r="B183" s="852"/>
      <c r="C183" s="853"/>
      <c r="D183" s="853"/>
      <c r="E183" s="854" t="b">
        <v>0</v>
      </c>
      <c r="F183" s="353"/>
      <c r="G183" s="827" t="s">
        <v>2221</v>
      </c>
      <c r="H183" s="827"/>
      <c r="I183" s="827"/>
      <c r="J183" s="827"/>
      <c r="K183" s="827"/>
      <c r="L183" s="827"/>
      <c r="M183" s="827"/>
      <c r="N183" s="827"/>
      <c r="O183" s="827"/>
      <c r="P183" s="827"/>
      <c r="Q183" s="827"/>
      <c r="R183" s="827"/>
      <c r="S183" s="827"/>
      <c r="T183" s="827"/>
      <c r="U183" s="827"/>
      <c r="V183" s="827"/>
      <c r="W183" s="827"/>
      <c r="X183" s="827"/>
      <c r="Y183" s="827"/>
      <c r="Z183" s="827"/>
      <c r="AA183" s="827"/>
      <c r="AB183" s="827"/>
      <c r="AC183" s="827"/>
      <c r="AD183" s="827"/>
      <c r="AE183" s="827"/>
      <c r="AF183" s="827"/>
      <c r="AG183" s="827"/>
      <c r="AH183" s="827"/>
      <c r="AI183" s="827"/>
      <c r="AJ183" s="827"/>
      <c r="AK183" s="828"/>
      <c r="AL183" s="147"/>
      <c r="AM183" s="521" t="b">
        <v>0</v>
      </c>
      <c r="AN183" s="589"/>
      <c r="AO183" s="590"/>
      <c r="AP183" s="590"/>
      <c r="AQ183" s="590"/>
      <c r="AR183" s="590"/>
      <c r="AS183" s="590"/>
      <c r="AT183" s="590"/>
      <c r="AU183" s="590"/>
      <c r="AV183" s="590"/>
      <c r="AW183" s="590"/>
      <c r="AX183" s="590"/>
      <c r="AY183" s="590"/>
      <c r="AZ183" s="590"/>
      <c r="BA183" s="590"/>
      <c r="BB183" s="590"/>
      <c r="BC183" s="591"/>
    </row>
    <row r="184" spans="1:59" s="157" customFormat="1" ht="4.5" customHeight="1">
      <c r="A184" s="156"/>
      <c r="B184" s="361"/>
      <c r="C184" s="70"/>
      <c r="D184" s="70"/>
      <c r="E184" s="70"/>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c r="AI184" s="70"/>
      <c r="AJ184" s="70"/>
      <c r="AK184" s="70"/>
      <c r="AL184" s="147"/>
      <c r="AN184" s="149"/>
    </row>
    <row r="185" spans="1:59" ht="16.5" customHeight="1">
      <c r="A185" s="147"/>
      <c r="B185" s="154" t="s">
        <v>164</v>
      </c>
      <c r="C185" s="154"/>
      <c r="D185" s="154"/>
      <c r="E185" s="154"/>
      <c r="F185" s="154"/>
      <c r="G185" s="154"/>
      <c r="H185" s="154"/>
      <c r="I185" s="154"/>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47"/>
    </row>
    <row r="186" spans="1:59" s="157" customFormat="1" ht="15" thickBot="1">
      <c r="A186" s="156"/>
      <c r="B186" s="205" t="s">
        <v>27</v>
      </c>
      <c r="C186" s="201" t="s">
        <v>165</v>
      </c>
      <c r="D186" s="362"/>
      <c r="E186" s="362"/>
      <c r="F186" s="362"/>
      <c r="G186" s="362"/>
      <c r="H186" s="362"/>
      <c r="I186" s="362"/>
      <c r="J186" s="362"/>
      <c r="K186" s="362"/>
      <c r="L186" s="362"/>
      <c r="M186" s="362"/>
      <c r="N186" s="362"/>
      <c r="O186" s="362"/>
      <c r="P186" s="362"/>
      <c r="Q186" s="362"/>
      <c r="R186" s="362"/>
      <c r="S186" s="362"/>
      <c r="T186" s="362"/>
      <c r="U186" s="362"/>
      <c r="V186" s="362"/>
      <c r="W186" s="362"/>
      <c r="X186" s="362"/>
      <c r="Y186" s="362"/>
      <c r="Z186" s="362"/>
      <c r="AA186" s="362"/>
      <c r="AB186" s="362"/>
      <c r="AC186" s="362"/>
      <c r="AD186" s="362"/>
      <c r="AE186" s="362"/>
      <c r="AF186" s="362"/>
      <c r="AG186" s="362"/>
      <c r="AH186" s="362"/>
      <c r="AI186" s="362"/>
      <c r="AJ186" s="362"/>
      <c r="AK186" s="147"/>
      <c r="AL186" s="147"/>
      <c r="AN186" s="359"/>
    </row>
    <row r="187" spans="1:59" s="157" customFormat="1" ht="40.5" customHeight="1" thickBot="1">
      <c r="A187" s="156"/>
      <c r="B187" s="829" t="s">
        <v>166</v>
      </c>
      <c r="C187" s="830"/>
      <c r="D187" s="830"/>
      <c r="E187" s="830"/>
      <c r="F187" s="830"/>
      <c r="G187" s="830"/>
      <c r="H187" s="830"/>
      <c r="I187" s="830"/>
      <c r="J187" s="830"/>
      <c r="K187" s="830"/>
      <c r="L187" s="830"/>
      <c r="M187" s="830"/>
      <c r="N187" s="830"/>
      <c r="O187" s="830"/>
      <c r="P187" s="830"/>
      <c r="Q187" s="830"/>
      <c r="R187" s="830"/>
      <c r="S187" s="830"/>
      <c r="T187" s="830"/>
      <c r="U187" s="830"/>
      <c r="V187" s="830"/>
      <c r="W187" s="830"/>
      <c r="X187" s="830"/>
      <c r="Y187" s="830"/>
      <c r="Z187" s="830"/>
      <c r="AA187" s="830"/>
      <c r="AB187" s="830"/>
      <c r="AC187" s="830"/>
      <c r="AD187" s="831"/>
      <c r="AE187" s="832" t="s">
        <v>167</v>
      </c>
      <c r="AF187" s="833"/>
      <c r="AG187" s="833"/>
      <c r="AH187" s="833"/>
      <c r="AI187" s="833"/>
      <c r="AJ187" s="834"/>
      <c r="AK187" s="515" t="str">
        <f>IF(AND(AM188=TRUE,OR(Q20=0,AM189=TRUE),AM190=TRUE,AM191=TRUE,AM192=TRUE,AM193=TRUE),"○","×")</f>
        <v>○</v>
      </c>
      <c r="AL187" s="147"/>
      <c r="AM187" s="606" t="s">
        <v>2015</v>
      </c>
      <c r="AN187" s="664"/>
      <c r="AO187" s="664"/>
      <c r="AP187" s="664"/>
      <c r="AQ187" s="664"/>
      <c r="AR187" s="664"/>
      <c r="AS187" s="664"/>
      <c r="AT187" s="664"/>
      <c r="AU187" s="664"/>
      <c r="AV187" s="664"/>
      <c r="AW187" s="664"/>
      <c r="AX187" s="664"/>
      <c r="AY187" s="664"/>
      <c r="AZ187" s="664"/>
      <c r="BA187" s="664"/>
      <c r="BB187" s="664"/>
      <c r="BC187" s="665"/>
    </row>
    <row r="188" spans="1:59" s="157" customFormat="1" ht="26.25" customHeight="1">
      <c r="A188" s="156"/>
      <c r="B188" s="340"/>
      <c r="C188" s="837" t="s">
        <v>168</v>
      </c>
      <c r="D188" s="837"/>
      <c r="E188" s="837"/>
      <c r="F188" s="837"/>
      <c r="G188" s="837"/>
      <c r="H188" s="837"/>
      <c r="I188" s="837"/>
      <c r="J188" s="837"/>
      <c r="K188" s="837"/>
      <c r="L188" s="837"/>
      <c r="M188" s="837"/>
      <c r="N188" s="837"/>
      <c r="O188" s="837"/>
      <c r="P188" s="837"/>
      <c r="Q188" s="837"/>
      <c r="R188" s="837"/>
      <c r="S188" s="837"/>
      <c r="T188" s="837"/>
      <c r="U188" s="837"/>
      <c r="V188" s="837"/>
      <c r="W188" s="837"/>
      <c r="X188" s="837"/>
      <c r="Y188" s="837"/>
      <c r="Z188" s="837"/>
      <c r="AA188" s="837"/>
      <c r="AB188" s="837"/>
      <c r="AC188" s="837"/>
      <c r="AD188" s="838"/>
      <c r="AE188" s="839" t="s">
        <v>169</v>
      </c>
      <c r="AF188" s="840"/>
      <c r="AG188" s="840"/>
      <c r="AH188" s="840"/>
      <c r="AI188" s="840"/>
      <c r="AJ188" s="840"/>
      <c r="AK188" s="841"/>
      <c r="AL188" s="147"/>
      <c r="AM188" s="1246" t="b">
        <v>1</v>
      </c>
      <c r="AN188" s="284"/>
      <c r="AO188" s="284"/>
      <c r="AP188" s="284"/>
      <c r="AQ188" s="284"/>
      <c r="AR188" s="284"/>
      <c r="AS188" s="284"/>
      <c r="AT188" s="284"/>
      <c r="AU188" s="284"/>
      <c r="AV188" s="284"/>
      <c r="AW188" s="284"/>
      <c r="AX188" s="284"/>
      <c r="AY188" s="284"/>
      <c r="AZ188" s="284"/>
    </row>
    <row r="189" spans="1:59" s="157" customFormat="1" ht="35.25" customHeight="1">
      <c r="A189" s="156"/>
      <c r="B189" s="349"/>
      <c r="C189" s="842" t="s">
        <v>2237</v>
      </c>
      <c r="D189" s="842"/>
      <c r="E189" s="842"/>
      <c r="F189" s="842"/>
      <c r="G189" s="842"/>
      <c r="H189" s="842"/>
      <c r="I189" s="842"/>
      <c r="J189" s="842"/>
      <c r="K189" s="842"/>
      <c r="L189" s="842"/>
      <c r="M189" s="842"/>
      <c r="N189" s="842"/>
      <c r="O189" s="842"/>
      <c r="P189" s="842"/>
      <c r="Q189" s="842"/>
      <c r="R189" s="842"/>
      <c r="S189" s="842"/>
      <c r="T189" s="842"/>
      <c r="U189" s="842"/>
      <c r="V189" s="842"/>
      <c r="W189" s="842"/>
      <c r="X189" s="842"/>
      <c r="Y189" s="842"/>
      <c r="Z189" s="842"/>
      <c r="AA189" s="842"/>
      <c r="AB189" s="842"/>
      <c r="AC189" s="842"/>
      <c r="AD189" s="843"/>
      <c r="AE189" s="844" t="s">
        <v>169</v>
      </c>
      <c r="AF189" s="845"/>
      <c r="AG189" s="845"/>
      <c r="AH189" s="845"/>
      <c r="AI189" s="845"/>
      <c r="AJ189" s="845"/>
      <c r="AK189" s="846"/>
      <c r="AL189" s="147"/>
      <c r="AM189" s="521" t="b">
        <v>1</v>
      </c>
      <c r="AN189" s="284"/>
      <c r="AO189" s="284"/>
      <c r="AP189" s="284"/>
      <c r="AQ189" s="284"/>
      <c r="AR189" s="284"/>
      <c r="AS189" s="284"/>
      <c r="AT189" s="284"/>
      <c r="AU189" s="284"/>
      <c r="AV189" s="284"/>
      <c r="AW189" s="284"/>
      <c r="AX189" s="284"/>
      <c r="AY189" s="284"/>
      <c r="AZ189" s="284"/>
    </row>
    <row r="190" spans="1:59" s="157" customFormat="1" ht="37.5" customHeight="1">
      <c r="A190" s="156"/>
      <c r="B190" s="349"/>
      <c r="C190" s="847" t="s">
        <v>170</v>
      </c>
      <c r="D190" s="847"/>
      <c r="E190" s="847"/>
      <c r="F190" s="847"/>
      <c r="G190" s="847"/>
      <c r="H190" s="847"/>
      <c r="I190" s="847"/>
      <c r="J190" s="847"/>
      <c r="K190" s="847"/>
      <c r="L190" s="847"/>
      <c r="M190" s="847"/>
      <c r="N190" s="847"/>
      <c r="O190" s="847"/>
      <c r="P190" s="847"/>
      <c r="Q190" s="847"/>
      <c r="R190" s="847"/>
      <c r="S190" s="847"/>
      <c r="T190" s="847"/>
      <c r="U190" s="847"/>
      <c r="V190" s="847"/>
      <c r="W190" s="847"/>
      <c r="X190" s="847"/>
      <c r="Y190" s="847"/>
      <c r="Z190" s="847"/>
      <c r="AA190" s="847"/>
      <c r="AB190" s="847"/>
      <c r="AC190" s="847"/>
      <c r="AD190" s="848"/>
      <c r="AE190" s="844" t="s">
        <v>171</v>
      </c>
      <c r="AF190" s="845"/>
      <c r="AG190" s="845"/>
      <c r="AH190" s="845"/>
      <c r="AI190" s="845"/>
      <c r="AJ190" s="845"/>
      <c r="AK190" s="846"/>
      <c r="AL190" s="147"/>
      <c r="AM190" s="521" t="b">
        <v>1</v>
      </c>
      <c r="AN190" s="284"/>
      <c r="AO190" s="284"/>
      <c r="AP190" s="284"/>
      <c r="AQ190" s="284"/>
      <c r="AR190" s="284"/>
      <c r="AS190" s="284"/>
      <c r="AT190" s="284"/>
      <c r="AU190" s="284"/>
      <c r="AV190" s="284"/>
      <c r="AW190" s="284"/>
      <c r="AX190" s="284"/>
      <c r="AY190" s="284"/>
      <c r="AZ190" s="284"/>
    </row>
    <row r="191" spans="1:59" s="157" customFormat="1" ht="23.25" customHeight="1">
      <c r="A191" s="156"/>
      <c r="B191" s="349"/>
      <c r="C191" s="847" t="s">
        <v>172</v>
      </c>
      <c r="D191" s="847"/>
      <c r="E191" s="847"/>
      <c r="F191" s="847"/>
      <c r="G191" s="847"/>
      <c r="H191" s="847"/>
      <c r="I191" s="847"/>
      <c r="J191" s="847"/>
      <c r="K191" s="847"/>
      <c r="L191" s="847"/>
      <c r="M191" s="847"/>
      <c r="N191" s="847"/>
      <c r="O191" s="847"/>
      <c r="P191" s="847"/>
      <c r="Q191" s="847"/>
      <c r="R191" s="847"/>
      <c r="S191" s="847"/>
      <c r="T191" s="847"/>
      <c r="U191" s="847"/>
      <c r="V191" s="847"/>
      <c r="W191" s="847"/>
      <c r="X191" s="847"/>
      <c r="Y191" s="847"/>
      <c r="Z191" s="847"/>
      <c r="AA191" s="847"/>
      <c r="AB191" s="847"/>
      <c r="AC191" s="847"/>
      <c r="AD191" s="848"/>
      <c r="AE191" s="860" t="s">
        <v>173</v>
      </c>
      <c r="AF191" s="861"/>
      <c r="AG191" s="861"/>
      <c r="AH191" s="861"/>
      <c r="AI191" s="861"/>
      <c r="AJ191" s="861"/>
      <c r="AK191" s="862"/>
      <c r="AL191" s="147"/>
      <c r="AM191" s="521" t="b">
        <v>1</v>
      </c>
    </row>
    <row r="192" spans="1:59" s="157" customFormat="1" ht="23.25" customHeight="1">
      <c r="A192" s="156"/>
      <c r="B192" s="349"/>
      <c r="C192" s="847" t="s">
        <v>174</v>
      </c>
      <c r="D192" s="847"/>
      <c r="E192" s="847"/>
      <c r="F192" s="847"/>
      <c r="G192" s="847"/>
      <c r="H192" s="847"/>
      <c r="I192" s="847"/>
      <c r="J192" s="847"/>
      <c r="K192" s="847"/>
      <c r="L192" s="847"/>
      <c r="M192" s="847"/>
      <c r="N192" s="847"/>
      <c r="O192" s="847"/>
      <c r="P192" s="847"/>
      <c r="Q192" s="847"/>
      <c r="R192" s="847"/>
      <c r="S192" s="847"/>
      <c r="T192" s="847"/>
      <c r="U192" s="847"/>
      <c r="V192" s="847"/>
      <c r="W192" s="847"/>
      <c r="X192" s="847"/>
      <c r="Y192" s="847"/>
      <c r="Z192" s="847"/>
      <c r="AA192" s="847"/>
      <c r="AB192" s="847"/>
      <c r="AC192" s="847"/>
      <c r="AD192" s="848"/>
      <c r="AE192" s="844" t="s">
        <v>175</v>
      </c>
      <c r="AF192" s="845"/>
      <c r="AG192" s="845"/>
      <c r="AH192" s="845"/>
      <c r="AI192" s="845"/>
      <c r="AJ192" s="845"/>
      <c r="AK192" s="846"/>
      <c r="AL192" s="147"/>
      <c r="AM192" s="521" t="b">
        <v>1</v>
      </c>
      <c r="AN192" s="363"/>
      <c r="AO192" s="363"/>
      <c r="AP192" s="363"/>
    </row>
    <row r="193" spans="1:59" s="157" customFormat="1" ht="13.5" customHeight="1" thickBot="1">
      <c r="A193" s="156"/>
      <c r="B193" s="353"/>
      <c r="C193" s="863" t="s">
        <v>176</v>
      </c>
      <c r="D193" s="863"/>
      <c r="E193" s="863"/>
      <c r="F193" s="863"/>
      <c r="G193" s="863"/>
      <c r="H193" s="863"/>
      <c r="I193" s="863"/>
      <c r="J193" s="863"/>
      <c r="K193" s="863"/>
      <c r="L193" s="863"/>
      <c r="M193" s="863"/>
      <c r="N193" s="863"/>
      <c r="O193" s="863"/>
      <c r="P193" s="863"/>
      <c r="Q193" s="863"/>
      <c r="R193" s="863"/>
      <c r="S193" s="863"/>
      <c r="T193" s="863"/>
      <c r="U193" s="863"/>
      <c r="V193" s="863"/>
      <c r="W193" s="863"/>
      <c r="X193" s="863"/>
      <c r="Y193" s="863"/>
      <c r="Z193" s="863"/>
      <c r="AA193" s="863"/>
      <c r="AB193" s="863"/>
      <c r="AC193" s="863"/>
      <c r="AD193" s="864"/>
      <c r="AE193" s="865" t="s">
        <v>177</v>
      </c>
      <c r="AF193" s="866"/>
      <c r="AG193" s="866"/>
      <c r="AH193" s="866"/>
      <c r="AI193" s="866"/>
      <c r="AJ193" s="866"/>
      <c r="AK193" s="867"/>
      <c r="AL193" s="147"/>
      <c r="AM193" s="521" t="b">
        <v>1</v>
      </c>
    </row>
    <row r="194" spans="1:59" s="157" customFormat="1" ht="5.25" customHeight="1">
      <c r="A194" s="156"/>
      <c r="B194" s="362"/>
      <c r="C194" s="201"/>
      <c r="D194" s="362"/>
      <c r="E194" s="362"/>
      <c r="F194" s="362"/>
      <c r="G194" s="362"/>
      <c r="H194" s="362"/>
      <c r="I194" s="362"/>
      <c r="J194" s="362"/>
      <c r="K194" s="362"/>
      <c r="L194" s="362"/>
      <c r="M194" s="362"/>
      <c r="N194" s="362"/>
      <c r="O194" s="362"/>
      <c r="P194" s="362"/>
      <c r="Q194" s="362"/>
      <c r="R194" s="362"/>
      <c r="S194" s="362"/>
      <c r="T194" s="362"/>
      <c r="U194" s="362"/>
      <c r="V194" s="362"/>
      <c r="W194" s="362"/>
      <c r="X194" s="362"/>
      <c r="Y194" s="362"/>
      <c r="Z194" s="201"/>
      <c r="AA194" s="201"/>
      <c r="AB194" s="201"/>
      <c r="AC194" s="201"/>
      <c r="AD194" s="201"/>
      <c r="AE194" s="201"/>
      <c r="AF194" s="201"/>
      <c r="AG194" s="201"/>
      <c r="AH194" s="201"/>
      <c r="AI194" s="362"/>
      <c r="AJ194" s="362"/>
      <c r="AK194" s="147"/>
      <c r="AL194" s="147"/>
    </row>
    <row r="195" spans="1:59" s="157" customFormat="1" ht="12" customHeight="1">
      <c r="A195" s="156"/>
      <c r="B195" s="364" t="s">
        <v>178</v>
      </c>
      <c r="C195" s="365" t="s">
        <v>179</v>
      </c>
      <c r="D195" s="365"/>
      <c r="E195" s="365"/>
      <c r="F195" s="365"/>
      <c r="G195" s="365"/>
      <c r="H195" s="365"/>
      <c r="I195" s="365"/>
      <c r="J195" s="365"/>
      <c r="K195" s="365"/>
      <c r="L195" s="365"/>
      <c r="M195" s="365"/>
      <c r="N195" s="365"/>
      <c r="O195" s="365"/>
      <c r="P195" s="365"/>
      <c r="Q195" s="365"/>
      <c r="R195" s="365"/>
      <c r="S195" s="365"/>
      <c r="T195" s="365"/>
      <c r="U195" s="365"/>
      <c r="V195" s="365"/>
      <c r="W195" s="365"/>
      <c r="X195" s="365"/>
      <c r="Y195" s="365"/>
      <c r="Z195" s="365"/>
      <c r="AA195" s="365"/>
      <c r="AB195" s="365"/>
      <c r="AC195" s="365"/>
      <c r="AD195" s="365"/>
      <c r="AE195" s="365"/>
      <c r="AF195" s="365"/>
      <c r="AG195" s="365"/>
      <c r="AH195" s="365"/>
      <c r="AI195" s="365"/>
      <c r="AJ195" s="365"/>
      <c r="AK195" s="366"/>
      <c r="AL195" s="147"/>
    </row>
    <row r="196" spans="1:59" s="157" customFormat="1" ht="28.5" customHeight="1" thickBot="1">
      <c r="A196" s="156"/>
      <c r="B196" s="364" t="s">
        <v>178</v>
      </c>
      <c r="C196" s="856" t="s">
        <v>2222</v>
      </c>
      <c r="D196" s="856"/>
      <c r="E196" s="856"/>
      <c r="F196" s="856"/>
      <c r="G196" s="856"/>
      <c r="H196" s="856"/>
      <c r="I196" s="856"/>
      <c r="J196" s="856"/>
      <c r="K196" s="856"/>
      <c r="L196" s="856"/>
      <c r="M196" s="856"/>
      <c r="N196" s="856"/>
      <c r="O196" s="856"/>
      <c r="P196" s="856"/>
      <c r="Q196" s="856"/>
      <c r="R196" s="856"/>
      <c r="S196" s="856"/>
      <c r="T196" s="856"/>
      <c r="U196" s="856"/>
      <c r="V196" s="856"/>
      <c r="W196" s="856"/>
      <c r="X196" s="856"/>
      <c r="Y196" s="856"/>
      <c r="Z196" s="856"/>
      <c r="AA196" s="856"/>
      <c r="AB196" s="856"/>
      <c r="AC196" s="856"/>
      <c r="AD196" s="856"/>
      <c r="AE196" s="856"/>
      <c r="AF196" s="856"/>
      <c r="AG196" s="856"/>
      <c r="AH196" s="856"/>
      <c r="AI196" s="856"/>
      <c r="AJ196" s="856"/>
      <c r="AK196" s="856"/>
      <c r="AL196" s="147"/>
    </row>
    <row r="197" spans="1:59" s="157" customFormat="1" ht="16.5" customHeight="1" thickBot="1">
      <c r="A197" s="156"/>
      <c r="B197" s="367"/>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15" t="str">
        <f>IF(COUNTA(E201,H201,K201,T202,AA202)=5,"○","×")</f>
        <v>○</v>
      </c>
      <c r="AL197" s="147"/>
    </row>
    <row r="198" spans="1:59" s="157" customFormat="1" ht="8.25" customHeight="1">
      <c r="A198" s="156"/>
      <c r="B198" s="368"/>
      <c r="C198" s="369"/>
      <c r="D198" s="369"/>
      <c r="E198" s="369"/>
      <c r="F198" s="369"/>
      <c r="G198" s="369"/>
      <c r="H198" s="369"/>
      <c r="I198" s="369"/>
      <c r="J198" s="369"/>
      <c r="K198" s="369"/>
      <c r="L198" s="369"/>
      <c r="M198" s="369"/>
      <c r="N198" s="369"/>
      <c r="O198" s="369"/>
      <c r="P198" s="369"/>
      <c r="Q198" s="369"/>
      <c r="R198" s="369"/>
      <c r="S198" s="369"/>
      <c r="T198" s="369"/>
      <c r="U198" s="369"/>
      <c r="V198" s="369"/>
      <c r="W198" s="369"/>
      <c r="X198" s="369"/>
      <c r="Y198" s="369"/>
      <c r="Z198" s="369"/>
      <c r="AA198" s="369"/>
      <c r="AB198" s="369"/>
      <c r="AC198" s="369"/>
      <c r="AD198" s="369"/>
      <c r="AE198" s="369"/>
      <c r="AF198" s="369"/>
      <c r="AG198" s="369"/>
      <c r="AH198" s="369"/>
      <c r="AI198" s="369"/>
      <c r="AJ198" s="369"/>
      <c r="AK198" s="370"/>
      <c r="AL198" s="147"/>
      <c r="AM198" s="149"/>
    </row>
    <row r="199" spans="1:59" s="157" customFormat="1" ht="26.25" customHeight="1">
      <c r="A199" s="156"/>
      <c r="B199" s="371"/>
      <c r="C199" s="857" t="s">
        <v>180</v>
      </c>
      <c r="D199" s="857"/>
      <c r="E199" s="857"/>
      <c r="F199" s="857"/>
      <c r="G199" s="857"/>
      <c r="H199" s="857"/>
      <c r="I199" s="857"/>
      <c r="J199" s="857"/>
      <c r="K199" s="857"/>
      <c r="L199" s="857"/>
      <c r="M199" s="857"/>
      <c r="N199" s="857"/>
      <c r="O199" s="857"/>
      <c r="P199" s="857"/>
      <c r="Q199" s="857"/>
      <c r="R199" s="857"/>
      <c r="S199" s="857"/>
      <c r="T199" s="857"/>
      <c r="U199" s="857"/>
      <c r="V199" s="857"/>
      <c r="W199" s="857"/>
      <c r="X199" s="857"/>
      <c r="Y199" s="857"/>
      <c r="Z199" s="857"/>
      <c r="AA199" s="857"/>
      <c r="AB199" s="857"/>
      <c r="AC199" s="857"/>
      <c r="AD199" s="857"/>
      <c r="AE199" s="857"/>
      <c r="AF199" s="857"/>
      <c r="AG199" s="857"/>
      <c r="AH199" s="857"/>
      <c r="AI199" s="857"/>
      <c r="AJ199" s="362"/>
      <c r="AK199" s="372"/>
      <c r="AL199" s="362"/>
      <c r="AM199" s="149"/>
    </row>
    <row r="200" spans="1:59" s="157" customFormat="1" ht="6.75" customHeight="1">
      <c r="A200" s="156"/>
      <c r="B200" s="371"/>
      <c r="C200" s="201"/>
      <c r="D200" s="362"/>
      <c r="E200" s="362"/>
      <c r="F200" s="362"/>
      <c r="G200" s="362"/>
      <c r="H200" s="362"/>
      <c r="I200" s="362"/>
      <c r="J200" s="362"/>
      <c r="K200" s="362"/>
      <c r="L200" s="362"/>
      <c r="M200" s="362"/>
      <c r="N200" s="362"/>
      <c r="O200" s="362"/>
      <c r="P200" s="362"/>
      <c r="Q200" s="362"/>
      <c r="R200" s="362"/>
      <c r="S200" s="362"/>
      <c r="T200" s="362"/>
      <c r="U200" s="362"/>
      <c r="V200" s="362"/>
      <c r="W200" s="362"/>
      <c r="X200" s="362"/>
      <c r="Y200" s="362"/>
      <c r="Z200" s="362"/>
      <c r="AA200" s="362"/>
      <c r="AB200" s="362"/>
      <c r="AC200" s="362"/>
      <c r="AD200" s="362"/>
      <c r="AE200" s="362"/>
      <c r="AF200" s="362"/>
      <c r="AG200" s="362"/>
      <c r="AH200" s="362"/>
      <c r="AI200" s="362"/>
      <c r="AJ200" s="362"/>
      <c r="AK200" s="372"/>
      <c r="AL200" s="147"/>
      <c r="AM200" s="149"/>
    </row>
    <row r="201" spans="1:59" s="157" customFormat="1" ht="15" customHeight="1">
      <c r="A201" s="156"/>
      <c r="B201" s="373"/>
      <c r="C201" s="374" t="s">
        <v>52</v>
      </c>
      <c r="D201" s="374"/>
      <c r="E201" s="1247">
        <v>6</v>
      </c>
      <c r="F201" s="1248"/>
      <c r="G201" s="374" t="s">
        <v>74</v>
      </c>
      <c r="H201" s="1247" t="s">
        <v>181</v>
      </c>
      <c r="I201" s="1248"/>
      <c r="J201" s="374" t="s">
        <v>182</v>
      </c>
      <c r="K201" s="1247" t="s">
        <v>181</v>
      </c>
      <c r="L201" s="1248"/>
      <c r="M201" s="374" t="s">
        <v>183</v>
      </c>
      <c r="N201" s="362"/>
      <c r="O201" s="858" t="s">
        <v>20</v>
      </c>
      <c r="P201" s="858"/>
      <c r="Q201" s="858"/>
      <c r="R201" s="859" t="str">
        <f>IF(H7="","",H7)</f>
        <v>○○ケアサービス</v>
      </c>
      <c r="S201" s="859"/>
      <c r="T201" s="859"/>
      <c r="U201" s="859"/>
      <c r="V201" s="859"/>
      <c r="W201" s="859"/>
      <c r="X201" s="859"/>
      <c r="Y201" s="859"/>
      <c r="Z201" s="859"/>
      <c r="AA201" s="859"/>
      <c r="AB201" s="859"/>
      <c r="AC201" s="859"/>
      <c r="AD201" s="859"/>
      <c r="AE201" s="859"/>
      <c r="AF201" s="859"/>
      <c r="AG201" s="859"/>
      <c r="AH201" s="859"/>
      <c r="AI201" s="859"/>
      <c r="AJ201" s="375"/>
      <c r="AK201" s="376"/>
      <c r="AL201" s="377"/>
      <c r="AM201" s="378"/>
      <c r="AN201" s="149"/>
      <c r="AO201" s="149"/>
      <c r="AP201" s="149"/>
      <c r="AQ201" s="149"/>
      <c r="AR201" s="149"/>
      <c r="AS201" s="149"/>
      <c r="AT201" s="149"/>
      <c r="AU201" s="149"/>
      <c r="AV201" s="149"/>
      <c r="AW201" s="149"/>
      <c r="AX201" s="149"/>
      <c r="AY201" s="149"/>
      <c r="AZ201" s="149"/>
      <c r="BA201" s="185"/>
      <c r="BB201" s="149"/>
      <c r="BC201" s="149"/>
      <c r="BD201" s="149"/>
      <c r="BE201" s="149"/>
      <c r="BF201" s="149"/>
      <c r="BG201" s="149"/>
    </row>
    <row r="202" spans="1:59" ht="15" customHeight="1">
      <c r="A202" s="147"/>
      <c r="B202" s="373"/>
      <c r="C202" s="379"/>
      <c r="D202" s="374"/>
      <c r="E202" s="374"/>
      <c r="F202" s="374"/>
      <c r="G202" s="374"/>
      <c r="H202" s="374"/>
      <c r="I202" s="374"/>
      <c r="J202" s="374"/>
      <c r="K202" s="374"/>
      <c r="L202" s="374"/>
      <c r="M202" s="374"/>
      <c r="N202" s="374"/>
      <c r="O202" s="880" t="s">
        <v>184</v>
      </c>
      <c r="P202" s="880"/>
      <c r="Q202" s="880"/>
      <c r="R202" s="881" t="s">
        <v>22</v>
      </c>
      <c r="S202" s="881"/>
      <c r="T202" s="1249" t="s">
        <v>2359</v>
      </c>
      <c r="U202" s="1249"/>
      <c r="V202" s="1249"/>
      <c r="W202" s="1249"/>
      <c r="X202" s="1249"/>
      <c r="Y202" s="882" t="s">
        <v>23</v>
      </c>
      <c r="Z202" s="882"/>
      <c r="AA202" s="1249" t="s">
        <v>2360</v>
      </c>
      <c r="AB202" s="1249"/>
      <c r="AC202" s="1249"/>
      <c r="AD202" s="1249"/>
      <c r="AE202" s="1249"/>
      <c r="AF202" s="1249"/>
      <c r="AG202" s="1249"/>
      <c r="AH202" s="1249"/>
      <c r="AI202" s="1249"/>
      <c r="AJ202" s="379"/>
      <c r="AK202" s="380"/>
      <c r="AL202" s="377"/>
      <c r="AM202" s="378"/>
      <c r="BA202" s="185"/>
    </row>
    <row r="203" spans="1:59" ht="7.5" customHeight="1" thickBot="1">
      <c r="A203" s="147"/>
      <c r="B203" s="381"/>
      <c r="C203" s="382"/>
      <c r="D203" s="383"/>
      <c r="E203" s="383"/>
      <c r="F203" s="383"/>
      <c r="G203" s="383"/>
      <c r="H203" s="383"/>
      <c r="I203" s="383"/>
      <c r="J203" s="383"/>
      <c r="K203" s="383"/>
      <c r="L203" s="383"/>
      <c r="M203" s="383"/>
      <c r="N203" s="383"/>
      <c r="O203" s="383"/>
      <c r="P203" s="383"/>
      <c r="Q203" s="382"/>
      <c r="R203" s="383"/>
      <c r="S203" s="384"/>
      <c r="T203" s="384"/>
      <c r="U203" s="384"/>
      <c r="V203" s="384"/>
      <c r="W203" s="384"/>
      <c r="X203" s="385"/>
      <c r="Y203" s="385"/>
      <c r="Z203" s="385"/>
      <c r="AA203" s="385"/>
      <c r="AB203" s="385"/>
      <c r="AC203" s="385"/>
      <c r="AD203" s="385"/>
      <c r="AE203" s="385"/>
      <c r="AF203" s="385"/>
      <c r="AG203" s="385"/>
      <c r="AH203" s="385"/>
      <c r="AI203" s="385"/>
      <c r="AJ203" s="386"/>
      <c r="AK203" s="387"/>
      <c r="AL203" s="377"/>
      <c r="AM203" s="378"/>
      <c r="BA203" s="185"/>
    </row>
    <row r="204" spans="1:59" ht="7.5" customHeight="1">
      <c r="A204" s="147"/>
      <c r="B204" s="388"/>
      <c r="C204" s="377"/>
      <c r="D204" s="388"/>
      <c r="E204" s="388"/>
      <c r="F204" s="388"/>
      <c r="G204" s="388"/>
      <c r="H204" s="388"/>
      <c r="I204" s="388"/>
      <c r="J204" s="388"/>
      <c r="K204" s="388"/>
      <c r="L204" s="388"/>
      <c r="M204" s="388"/>
      <c r="N204" s="388"/>
      <c r="O204" s="388"/>
      <c r="P204" s="388"/>
      <c r="Q204" s="377"/>
      <c r="R204" s="388"/>
      <c r="S204" s="389"/>
      <c r="T204" s="389"/>
      <c r="U204" s="389"/>
      <c r="V204" s="389"/>
      <c r="W204" s="389"/>
      <c r="X204" s="390"/>
      <c r="Y204" s="390"/>
      <c r="Z204" s="390"/>
      <c r="AA204" s="390"/>
      <c r="AB204" s="390"/>
      <c r="AC204" s="390"/>
      <c r="AD204" s="390"/>
      <c r="AE204" s="390"/>
      <c r="AF204" s="390"/>
      <c r="AG204" s="390"/>
      <c r="AH204" s="390"/>
      <c r="AI204" s="390"/>
      <c r="AJ204" s="391"/>
      <c r="AK204" s="377"/>
      <c r="AL204" s="377"/>
      <c r="AM204" s="378"/>
      <c r="BA204" s="185"/>
    </row>
    <row r="205" spans="1:59" s="157" customFormat="1" ht="15" customHeight="1">
      <c r="A205" s="156"/>
      <c r="B205" s="392" t="s">
        <v>185</v>
      </c>
      <c r="C205" s="388"/>
      <c r="D205" s="156"/>
      <c r="E205" s="156"/>
      <c r="F205" s="154" t="s">
        <v>186</v>
      </c>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393" t="s">
        <v>2194</v>
      </c>
      <c r="AL205" s="147"/>
      <c r="AM205" s="149"/>
    </row>
    <row r="206" spans="1:59" ht="17.25" customHeight="1">
      <c r="A206" s="147"/>
      <c r="B206" s="394" t="s">
        <v>27</v>
      </c>
      <c r="C206" s="395" t="s">
        <v>2173</v>
      </c>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396">
        <f>SUM('別紙様式6-2 事業所個票１:事業所個票10'!CI2)</f>
        <v>3</v>
      </c>
      <c r="AL206" s="147"/>
    </row>
    <row r="207" spans="1:59" s="234" customFormat="1" ht="12" customHeight="1">
      <c r="A207" s="182"/>
      <c r="B207" s="205" t="s">
        <v>178</v>
      </c>
      <c r="C207" s="366" t="s">
        <v>187</v>
      </c>
      <c r="D207" s="182"/>
      <c r="E207" s="182"/>
      <c r="F207" s="182"/>
      <c r="G207" s="182"/>
      <c r="H207" s="182"/>
      <c r="I207" s="182"/>
      <c r="J207" s="182"/>
      <c r="K207" s="182"/>
      <c r="L207" s="182"/>
      <c r="M207" s="182"/>
      <c r="N207" s="182"/>
      <c r="O207" s="182"/>
      <c r="P207" s="182"/>
      <c r="Q207" s="182"/>
      <c r="R207" s="182"/>
      <c r="S207" s="182"/>
      <c r="T207" s="182"/>
      <c r="U207" s="182"/>
      <c r="V207" s="182"/>
      <c r="W207" s="182"/>
      <c r="X207" s="182"/>
      <c r="Y207" s="182"/>
      <c r="Z207" s="182"/>
      <c r="AA207" s="182"/>
      <c r="AB207" s="182"/>
      <c r="AC207" s="182"/>
      <c r="AD207" s="182"/>
      <c r="AE207" s="182"/>
      <c r="AF207" s="182"/>
      <c r="AG207" s="182"/>
      <c r="AH207" s="182"/>
      <c r="AI207" s="182"/>
      <c r="AJ207" s="182"/>
      <c r="AK207" s="182"/>
      <c r="AL207" s="182"/>
    </row>
    <row r="208" spans="1:59" ht="6" customHeight="1">
      <c r="A208" s="147"/>
      <c r="B208" s="154"/>
      <c r="C208" s="388"/>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row>
    <row r="209" spans="1:60">
      <c r="A209" s="147"/>
      <c r="B209" s="883" t="s">
        <v>188</v>
      </c>
      <c r="C209" s="883"/>
      <c r="D209" s="883"/>
      <c r="E209" s="883"/>
      <c r="F209" s="883"/>
      <c r="G209" s="883"/>
      <c r="H209" s="883"/>
      <c r="I209" s="883"/>
      <c r="J209" s="883"/>
      <c r="K209" s="883"/>
      <c r="L209" s="883"/>
      <c r="M209" s="883"/>
      <c r="N209" s="883"/>
      <c r="O209" s="883"/>
      <c r="P209" s="883"/>
      <c r="Q209" s="883"/>
      <c r="R209" s="883"/>
      <c r="S209" s="883"/>
      <c r="T209" s="883"/>
      <c r="U209" s="883"/>
      <c r="V209" s="883"/>
      <c r="W209" s="883"/>
      <c r="X209" s="883"/>
      <c r="Y209" s="883"/>
      <c r="Z209" s="883"/>
      <c r="AA209" s="883"/>
      <c r="AB209" s="883"/>
      <c r="AC209" s="883"/>
      <c r="AD209" s="883"/>
      <c r="AE209" s="883"/>
      <c r="AF209" s="883"/>
      <c r="AG209" s="883"/>
      <c r="AH209" s="883"/>
      <c r="AI209" s="883"/>
      <c r="AJ209" s="883"/>
      <c r="AK209" s="883"/>
      <c r="AL209" s="147"/>
    </row>
    <row r="210" spans="1:60">
      <c r="A210" s="147"/>
      <c r="B210" s="868" t="s">
        <v>189</v>
      </c>
      <c r="C210" s="871" t="s">
        <v>190</v>
      </c>
      <c r="D210" s="872"/>
      <c r="E210" s="872"/>
      <c r="F210" s="872"/>
      <c r="G210" s="872"/>
      <c r="H210" s="872"/>
      <c r="I210" s="872"/>
      <c r="J210" s="872"/>
      <c r="K210" s="872"/>
      <c r="L210" s="872"/>
      <c r="M210" s="872"/>
      <c r="N210" s="872"/>
      <c r="O210" s="872"/>
      <c r="P210" s="872"/>
      <c r="Q210" s="872"/>
      <c r="R210" s="872"/>
      <c r="S210" s="872"/>
      <c r="T210" s="872"/>
      <c r="U210" s="872"/>
      <c r="V210" s="872"/>
      <c r="W210" s="872"/>
      <c r="X210" s="872"/>
      <c r="Y210" s="872"/>
      <c r="Z210" s="872"/>
      <c r="AA210" s="872"/>
      <c r="AB210" s="872"/>
      <c r="AC210" s="872"/>
      <c r="AD210" s="872"/>
      <c r="AE210" s="872"/>
      <c r="AF210" s="872"/>
      <c r="AG210" s="872"/>
      <c r="AH210" s="872"/>
      <c r="AI210" s="872"/>
      <c r="AJ210" s="873"/>
      <c r="AK210" s="397" t="str">
        <f>Y20</f>
        <v/>
      </c>
      <c r="AL210" s="147"/>
    </row>
    <row r="211" spans="1:60">
      <c r="A211" s="147"/>
      <c r="B211" s="869"/>
      <c r="C211" s="874" t="s">
        <v>191</v>
      </c>
      <c r="D211" s="875"/>
      <c r="E211" s="875"/>
      <c r="F211" s="875"/>
      <c r="G211" s="875"/>
      <c r="H211" s="875"/>
      <c r="I211" s="875"/>
      <c r="J211" s="875"/>
      <c r="K211" s="875"/>
      <c r="L211" s="875"/>
      <c r="M211" s="875"/>
      <c r="N211" s="875"/>
      <c r="O211" s="875"/>
      <c r="P211" s="875"/>
      <c r="Q211" s="875"/>
      <c r="R211" s="875"/>
      <c r="S211" s="875"/>
      <c r="T211" s="875"/>
      <c r="U211" s="875"/>
      <c r="V211" s="875"/>
      <c r="W211" s="875"/>
      <c r="X211" s="875"/>
      <c r="Y211" s="875"/>
      <c r="Z211" s="875"/>
      <c r="AA211" s="875"/>
      <c r="AB211" s="875"/>
      <c r="AC211" s="875"/>
      <c r="AD211" s="875"/>
      <c r="AE211" s="875"/>
      <c r="AF211" s="875"/>
      <c r="AG211" s="875"/>
      <c r="AH211" s="875"/>
      <c r="AI211" s="875"/>
      <c r="AJ211" s="876"/>
      <c r="AK211" s="397" t="str">
        <f>Y21</f>
        <v>○</v>
      </c>
      <c r="AL211" s="147"/>
    </row>
    <row r="212" spans="1:60">
      <c r="A212" s="147"/>
      <c r="B212" s="870"/>
      <c r="C212" s="874" t="s">
        <v>192</v>
      </c>
      <c r="D212" s="875"/>
      <c r="E212" s="875"/>
      <c r="F212" s="875"/>
      <c r="G212" s="875"/>
      <c r="H212" s="875"/>
      <c r="I212" s="875"/>
      <c r="J212" s="875"/>
      <c r="K212" s="875"/>
      <c r="L212" s="875"/>
      <c r="M212" s="875"/>
      <c r="N212" s="875"/>
      <c r="O212" s="875"/>
      <c r="P212" s="875"/>
      <c r="Q212" s="875"/>
      <c r="R212" s="875"/>
      <c r="S212" s="875"/>
      <c r="T212" s="875"/>
      <c r="U212" s="875"/>
      <c r="V212" s="875"/>
      <c r="W212" s="875"/>
      <c r="X212" s="875"/>
      <c r="Y212" s="875"/>
      <c r="Z212" s="875"/>
      <c r="AA212" s="875"/>
      <c r="AB212" s="875"/>
      <c r="AC212" s="875"/>
      <c r="AD212" s="875"/>
      <c r="AE212" s="875"/>
      <c r="AF212" s="875"/>
      <c r="AG212" s="875"/>
      <c r="AH212" s="875"/>
      <c r="AI212" s="875"/>
      <c r="AJ212" s="876"/>
      <c r="AK212" s="397" t="str">
        <f>IF(Y25="○","○",IF(AA25="○","○","×"))</f>
        <v>○</v>
      </c>
      <c r="AL212" s="147"/>
    </row>
    <row r="213" spans="1:60">
      <c r="A213" s="147"/>
      <c r="B213" s="516" t="s">
        <v>193</v>
      </c>
      <c r="C213" s="874" t="s">
        <v>194</v>
      </c>
      <c r="D213" s="875"/>
      <c r="E213" s="875"/>
      <c r="F213" s="875"/>
      <c r="G213" s="875"/>
      <c r="H213" s="875"/>
      <c r="I213" s="875"/>
      <c r="J213" s="875"/>
      <c r="K213" s="875"/>
      <c r="L213" s="875"/>
      <c r="M213" s="875"/>
      <c r="N213" s="875"/>
      <c r="O213" s="875"/>
      <c r="P213" s="875"/>
      <c r="Q213" s="875"/>
      <c r="R213" s="875"/>
      <c r="S213" s="875"/>
      <c r="T213" s="875"/>
      <c r="U213" s="875"/>
      <c r="V213" s="875"/>
      <c r="W213" s="875"/>
      <c r="X213" s="875"/>
      <c r="Y213" s="875"/>
      <c r="Z213" s="875"/>
      <c r="AA213" s="875"/>
      <c r="AB213" s="875"/>
      <c r="AC213" s="875"/>
      <c r="AD213" s="875"/>
      <c r="AE213" s="875"/>
      <c r="AF213" s="875"/>
      <c r="AG213" s="875"/>
      <c r="AH213" s="875"/>
      <c r="AI213" s="875"/>
      <c r="AJ213" s="876"/>
      <c r="AK213" s="397" t="str">
        <f>AB37</f>
        <v>○</v>
      </c>
      <c r="AL213" s="147"/>
    </row>
    <row r="214" spans="1:60">
      <c r="A214" s="147"/>
      <c r="B214" s="517" t="s">
        <v>195</v>
      </c>
      <c r="C214" s="877" t="s">
        <v>196</v>
      </c>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c r="AB214" s="878"/>
      <c r="AC214" s="878"/>
      <c r="AD214" s="878"/>
      <c r="AE214" s="878"/>
      <c r="AF214" s="878"/>
      <c r="AG214" s="878"/>
      <c r="AH214" s="878"/>
      <c r="AI214" s="878"/>
      <c r="AJ214" s="879"/>
      <c r="AK214" s="397" t="str">
        <f>AK42</f>
        <v>○</v>
      </c>
      <c r="AL214" s="147"/>
      <c r="AN214" s="356"/>
      <c r="AO214" s="356"/>
      <c r="AP214" s="356"/>
      <c r="AQ214" s="356"/>
      <c r="AR214" s="356"/>
      <c r="AS214" s="356"/>
      <c r="AT214" s="356"/>
      <c r="AU214" s="356"/>
      <c r="AV214" s="356"/>
      <c r="AW214" s="356"/>
      <c r="AX214" s="356"/>
      <c r="AY214" s="356"/>
      <c r="AZ214" s="356"/>
      <c r="BA214" s="356"/>
      <c r="BB214" s="356"/>
      <c r="BC214" s="356"/>
      <c r="BD214" s="356"/>
      <c r="BE214" s="356"/>
      <c r="BF214" s="356"/>
      <c r="BG214" s="356"/>
      <c r="BH214" s="356"/>
    </row>
    <row r="215" spans="1:60" ht="8.25" customHeight="1">
      <c r="A215" s="147"/>
      <c r="B215" s="147"/>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7"/>
      <c r="AL215" s="147"/>
      <c r="AN215" s="356"/>
      <c r="AO215" s="356"/>
      <c r="AP215" s="356"/>
      <c r="AQ215" s="356"/>
      <c r="AR215" s="356"/>
      <c r="AS215" s="356"/>
      <c r="AT215" s="356"/>
      <c r="AU215" s="356"/>
      <c r="AV215" s="356"/>
      <c r="AW215" s="356"/>
      <c r="AX215" s="356"/>
      <c r="AY215" s="356"/>
      <c r="AZ215" s="356"/>
      <c r="BA215" s="356"/>
      <c r="BB215" s="356"/>
      <c r="BC215" s="356"/>
      <c r="BD215" s="356"/>
      <c r="BE215" s="356"/>
      <c r="BF215" s="356"/>
      <c r="BG215" s="356"/>
      <c r="BH215" s="356"/>
    </row>
    <row r="216" spans="1:60" s="356" customFormat="1" ht="15" customHeight="1">
      <c r="A216" s="352"/>
      <c r="B216" s="883" t="s">
        <v>2227</v>
      </c>
      <c r="C216" s="883"/>
      <c r="D216" s="883"/>
      <c r="E216" s="883"/>
      <c r="F216" s="883"/>
      <c r="G216" s="883"/>
      <c r="H216" s="883"/>
      <c r="I216" s="883"/>
      <c r="J216" s="883"/>
      <c r="K216" s="883"/>
      <c r="L216" s="883"/>
      <c r="M216" s="883"/>
      <c r="N216" s="883"/>
      <c r="O216" s="883"/>
      <c r="P216" s="883"/>
      <c r="Q216" s="883"/>
      <c r="R216" s="883"/>
      <c r="S216" s="883"/>
      <c r="T216" s="883"/>
      <c r="U216" s="883"/>
      <c r="V216" s="883"/>
      <c r="W216" s="883"/>
      <c r="X216" s="883"/>
      <c r="Y216" s="883"/>
      <c r="Z216" s="883"/>
      <c r="AA216" s="883"/>
      <c r="AB216" s="883"/>
      <c r="AC216" s="883"/>
      <c r="AD216" s="883"/>
      <c r="AE216" s="883"/>
      <c r="AF216" s="883"/>
      <c r="AG216" s="883"/>
      <c r="AH216" s="883"/>
      <c r="AI216" s="883"/>
      <c r="AJ216" s="883"/>
      <c r="AK216" s="883"/>
      <c r="AL216" s="147"/>
      <c r="AM216" s="149"/>
    </row>
    <row r="217" spans="1:60" s="356" customFormat="1">
      <c r="A217" s="352"/>
      <c r="B217" s="398" t="s">
        <v>189</v>
      </c>
      <c r="C217" s="898" t="s">
        <v>197</v>
      </c>
      <c r="D217" s="899"/>
      <c r="E217" s="899"/>
      <c r="F217" s="899"/>
      <c r="G217" s="899"/>
      <c r="H217" s="899"/>
      <c r="I217" s="900"/>
      <c r="J217" s="891" t="s">
        <v>198</v>
      </c>
      <c r="K217" s="891"/>
      <c r="L217" s="891"/>
      <c r="M217" s="891"/>
      <c r="N217" s="891"/>
      <c r="O217" s="891"/>
      <c r="P217" s="891"/>
      <c r="Q217" s="891"/>
      <c r="R217" s="891"/>
      <c r="S217" s="891"/>
      <c r="T217" s="891"/>
      <c r="U217" s="891"/>
      <c r="V217" s="891"/>
      <c r="W217" s="891"/>
      <c r="X217" s="891"/>
      <c r="Y217" s="891"/>
      <c r="Z217" s="891"/>
      <c r="AA217" s="891"/>
      <c r="AB217" s="891"/>
      <c r="AC217" s="891"/>
      <c r="AD217" s="891"/>
      <c r="AE217" s="891"/>
      <c r="AF217" s="891"/>
      <c r="AG217" s="891"/>
      <c r="AH217" s="891"/>
      <c r="AI217" s="891"/>
      <c r="AJ217" s="892"/>
      <c r="AK217" s="397" t="str">
        <f>AH68</f>
        <v/>
      </c>
      <c r="AL217" s="399"/>
      <c r="AM217" s="149"/>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7"/>
    </row>
    <row r="218" spans="1:60" s="356" customFormat="1" ht="27" customHeight="1">
      <c r="A218" s="352"/>
      <c r="B218" s="893" t="s">
        <v>193</v>
      </c>
      <c r="C218" s="888" t="s">
        <v>199</v>
      </c>
      <c r="D218" s="888"/>
      <c r="E218" s="888"/>
      <c r="F218" s="888"/>
      <c r="G218" s="888"/>
      <c r="H218" s="888"/>
      <c r="I218" s="888"/>
      <c r="J218" s="889" t="s">
        <v>200</v>
      </c>
      <c r="K218" s="889"/>
      <c r="L218" s="889"/>
      <c r="M218" s="889"/>
      <c r="N218" s="889"/>
      <c r="O218" s="889"/>
      <c r="P218" s="889"/>
      <c r="Q218" s="889"/>
      <c r="R218" s="889"/>
      <c r="S218" s="889"/>
      <c r="T218" s="889"/>
      <c r="U218" s="889"/>
      <c r="V218" s="889"/>
      <c r="W218" s="889"/>
      <c r="X218" s="889"/>
      <c r="Y218" s="889"/>
      <c r="Z218" s="889"/>
      <c r="AA218" s="889"/>
      <c r="AB218" s="889"/>
      <c r="AC218" s="889"/>
      <c r="AD218" s="889"/>
      <c r="AE218" s="889"/>
      <c r="AF218" s="889"/>
      <c r="AG218" s="889"/>
      <c r="AH218" s="889"/>
      <c r="AI218" s="889"/>
      <c r="AJ218" s="890"/>
      <c r="AK218" s="397" t="str">
        <f>Z75</f>
        <v>○</v>
      </c>
      <c r="AL218" s="400"/>
      <c r="AM218" s="149"/>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row>
    <row r="219" spans="1:60" s="356" customFormat="1" ht="26.25" customHeight="1">
      <c r="A219" s="352"/>
      <c r="B219" s="893"/>
      <c r="C219" s="888"/>
      <c r="D219" s="888"/>
      <c r="E219" s="888"/>
      <c r="F219" s="888"/>
      <c r="G219" s="888"/>
      <c r="H219" s="888"/>
      <c r="I219" s="888"/>
      <c r="J219" s="889" t="s">
        <v>201</v>
      </c>
      <c r="K219" s="889"/>
      <c r="L219" s="889"/>
      <c r="M219" s="889"/>
      <c r="N219" s="889"/>
      <c r="O219" s="889"/>
      <c r="P219" s="889"/>
      <c r="Q219" s="889"/>
      <c r="R219" s="889"/>
      <c r="S219" s="889"/>
      <c r="T219" s="889"/>
      <c r="U219" s="889"/>
      <c r="V219" s="889"/>
      <c r="W219" s="889"/>
      <c r="X219" s="889"/>
      <c r="Y219" s="889"/>
      <c r="Z219" s="889"/>
      <c r="AA219" s="889"/>
      <c r="AB219" s="889"/>
      <c r="AC219" s="889"/>
      <c r="AD219" s="889"/>
      <c r="AE219" s="889"/>
      <c r="AF219" s="889"/>
      <c r="AG219" s="889"/>
      <c r="AH219" s="889"/>
      <c r="AI219" s="889"/>
      <c r="AJ219" s="890"/>
      <c r="AK219" s="397" t="str">
        <f>AB79</f>
        <v>○</v>
      </c>
      <c r="AL219" s="400"/>
      <c r="AM219" s="149"/>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row>
    <row r="220" spans="1:60" s="356" customFormat="1" ht="24" customHeight="1">
      <c r="A220" s="352"/>
      <c r="B220" s="893"/>
      <c r="C220" s="888"/>
      <c r="D220" s="888"/>
      <c r="E220" s="888"/>
      <c r="F220" s="888"/>
      <c r="G220" s="888"/>
      <c r="H220" s="888"/>
      <c r="I220" s="888"/>
      <c r="J220" s="889" t="s">
        <v>2226</v>
      </c>
      <c r="K220" s="889"/>
      <c r="L220" s="889"/>
      <c r="M220" s="889"/>
      <c r="N220" s="889"/>
      <c r="O220" s="889"/>
      <c r="P220" s="889"/>
      <c r="Q220" s="889"/>
      <c r="R220" s="889"/>
      <c r="S220" s="889"/>
      <c r="T220" s="889"/>
      <c r="U220" s="889"/>
      <c r="V220" s="889"/>
      <c r="W220" s="889"/>
      <c r="X220" s="889"/>
      <c r="Y220" s="889"/>
      <c r="Z220" s="889"/>
      <c r="AA220" s="889"/>
      <c r="AB220" s="889"/>
      <c r="AC220" s="889"/>
      <c r="AD220" s="889"/>
      <c r="AE220" s="889"/>
      <c r="AF220" s="889"/>
      <c r="AG220" s="889"/>
      <c r="AH220" s="889"/>
      <c r="AI220" s="889"/>
      <c r="AJ220" s="890"/>
      <c r="AK220" s="397" t="str">
        <f>AI82</f>
        <v>○</v>
      </c>
      <c r="AL220" s="400"/>
      <c r="AM220" s="149"/>
    </row>
    <row r="221" spans="1:60" s="356" customFormat="1" ht="25.5" customHeight="1">
      <c r="A221" s="352"/>
      <c r="B221" s="893"/>
      <c r="C221" s="888"/>
      <c r="D221" s="888"/>
      <c r="E221" s="888"/>
      <c r="F221" s="888"/>
      <c r="G221" s="888"/>
      <c r="H221" s="888"/>
      <c r="I221" s="888"/>
      <c r="J221" s="889" t="s">
        <v>202</v>
      </c>
      <c r="K221" s="889"/>
      <c r="L221" s="889"/>
      <c r="M221" s="889"/>
      <c r="N221" s="889"/>
      <c r="O221" s="889"/>
      <c r="P221" s="889"/>
      <c r="Q221" s="889"/>
      <c r="R221" s="889"/>
      <c r="S221" s="889"/>
      <c r="T221" s="889"/>
      <c r="U221" s="889"/>
      <c r="V221" s="889"/>
      <c r="W221" s="889"/>
      <c r="X221" s="889"/>
      <c r="Y221" s="889"/>
      <c r="Z221" s="889"/>
      <c r="AA221" s="889"/>
      <c r="AB221" s="889"/>
      <c r="AC221" s="889"/>
      <c r="AD221" s="889"/>
      <c r="AE221" s="889"/>
      <c r="AF221" s="889"/>
      <c r="AG221" s="889"/>
      <c r="AH221" s="889"/>
      <c r="AI221" s="889"/>
      <c r="AJ221" s="890"/>
      <c r="AK221" s="397" t="str">
        <f>AI87</f>
        <v>○</v>
      </c>
      <c r="AL221" s="400"/>
      <c r="AM221" s="149"/>
    </row>
    <row r="222" spans="1:60" s="356" customFormat="1" ht="48.75" customHeight="1">
      <c r="A222" s="352"/>
      <c r="B222" s="893" t="s">
        <v>195</v>
      </c>
      <c r="C222" s="888" t="s">
        <v>204</v>
      </c>
      <c r="D222" s="888"/>
      <c r="E222" s="888"/>
      <c r="F222" s="888"/>
      <c r="G222" s="888"/>
      <c r="H222" s="888"/>
      <c r="I222" s="888"/>
      <c r="J222" s="889" t="s">
        <v>2225</v>
      </c>
      <c r="K222" s="889"/>
      <c r="L222" s="889"/>
      <c r="M222" s="889"/>
      <c r="N222" s="889"/>
      <c r="O222" s="889"/>
      <c r="P222" s="889"/>
      <c r="Q222" s="889"/>
      <c r="R222" s="889"/>
      <c r="S222" s="889"/>
      <c r="T222" s="889"/>
      <c r="U222" s="889"/>
      <c r="V222" s="889"/>
      <c r="W222" s="889"/>
      <c r="X222" s="889"/>
      <c r="Y222" s="889"/>
      <c r="Z222" s="889"/>
      <c r="AA222" s="889"/>
      <c r="AB222" s="889"/>
      <c r="AC222" s="889"/>
      <c r="AD222" s="889"/>
      <c r="AE222" s="889"/>
      <c r="AF222" s="889"/>
      <c r="AG222" s="889"/>
      <c r="AH222" s="889"/>
      <c r="AI222" s="889"/>
      <c r="AJ222" s="890"/>
      <c r="AK222" s="397" t="str">
        <f>IF(AI93="該当",IF(AND(OR(T98="○",AK103="○"),OR(T106="○",AK114="○")),"○","×"),"")</f>
        <v>○</v>
      </c>
      <c r="AL222" s="401"/>
      <c r="AM222" s="149"/>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row>
    <row r="223" spans="1:60" s="356" customFormat="1" ht="49.5" customHeight="1">
      <c r="A223" s="352"/>
      <c r="B223" s="893"/>
      <c r="C223" s="888"/>
      <c r="D223" s="888"/>
      <c r="E223" s="888"/>
      <c r="F223" s="888"/>
      <c r="G223" s="888"/>
      <c r="H223" s="888"/>
      <c r="I223" s="888"/>
      <c r="J223" s="889" t="s">
        <v>2224</v>
      </c>
      <c r="K223" s="889"/>
      <c r="L223" s="889"/>
      <c r="M223" s="889"/>
      <c r="N223" s="889"/>
      <c r="O223" s="889"/>
      <c r="P223" s="889"/>
      <c r="Q223" s="889"/>
      <c r="R223" s="889"/>
      <c r="S223" s="889"/>
      <c r="T223" s="889"/>
      <c r="U223" s="889"/>
      <c r="V223" s="889"/>
      <c r="W223" s="889"/>
      <c r="X223" s="889"/>
      <c r="Y223" s="889"/>
      <c r="Z223" s="889"/>
      <c r="AA223" s="889"/>
      <c r="AB223" s="889"/>
      <c r="AC223" s="889"/>
      <c r="AD223" s="889"/>
      <c r="AE223" s="889"/>
      <c r="AF223" s="889"/>
      <c r="AG223" s="889"/>
      <c r="AH223" s="889"/>
      <c r="AI223" s="889"/>
      <c r="AJ223" s="890"/>
      <c r="AK223" s="397" t="str">
        <f>IF(AI95="該当",IF(OR(OR(T98="○",AK103="○"),OR(T106="○",AK114="○")),"○","×"),"")</f>
        <v/>
      </c>
      <c r="AL223" s="401"/>
      <c r="AM223" s="149"/>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row>
    <row r="224" spans="1:60" s="157" customFormat="1" ht="26.25" customHeight="1">
      <c r="A224" s="156"/>
      <c r="B224" s="516" t="s">
        <v>203</v>
      </c>
      <c r="C224" s="888" t="s">
        <v>205</v>
      </c>
      <c r="D224" s="888"/>
      <c r="E224" s="888"/>
      <c r="F224" s="888"/>
      <c r="G224" s="888"/>
      <c r="H224" s="888"/>
      <c r="I224" s="888"/>
      <c r="J224" s="889" t="s">
        <v>206</v>
      </c>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90"/>
      <c r="AK224" s="397" t="str">
        <f>IF(AM116="","",IF(OR(S118="○",AK125="○"),"○","×"))</f>
        <v>○</v>
      </c>
      <c r="AL224" s="147"/>
      <c r="AM224" s="149"/>
    </row>
    <row r="225" spans="1:60" s="157" customFormat="1" ht="36" customHeight="1">
      <c r="A225" s="156"/>
      <c r="B225" s="516" t="s">
        <v>2174</v>
      </c>
      <c r="C225" s="888" t="s">
        <v>207</v>
      </c>
      <c r="D225" s="888"/>
      <c r="E225" s="888"/>
      <c r="F225" s="888"/>
      <c r="G225" s="888"/>
      <c r="H225" s="888"/>
      <c r="I225" s="888"/>
      <c r="J225" s="889" t="s">
        <v>208</v>
      </c>
      <c r="K225" s="889"/>
      <c r="L225" s="889"/>
      <c r="M225" s="889"/>
      <c r="N225" s="889"/>
      <c r="O225" s="889"/>
      <c r="P225" s="889"/>
      <c r="Q225" s="889"/>
      <c r="R225" s="889"/>
      <c r="S225" s="889"/>
      <c r="T225" s="889"/>
      <c r="U225" s="889"/>
      <c r="V225" s="889"/>
      <c r="W225" s="889"/>
      <c r="X225" s="889"/>
      <c r="Y225" s="889"/>
      <c r="Z225" s="889"/>
      <c r="AA225" s="889"/>
      <c r="AB225" s="889"/>
      <c r="AC225" s="889"/>
      <c r="AD225" s="889"/>
      <c r="AE225" s="889"/>
      <c r="AF225" s="889"/>
      <c r="AG225" s="889"/>
      <c r="AH225" s="889"/>
      <c r="AI225" s="889"/>
      <c r="AJ225" s="890"/>
      <c r="AK225" s="397" t="str">
        <f>IF(OR(AND(AD129&lt;&gt;"×",AD131&lt;&gt;"×"),AK134="○"),"○","×")</f>
        <v>○</v>
      </c>
      <c r="AL225" s="147"/>
      <c r="AM225" s="149"/>
    </row>
    <row r="226" spans="1:60" s="157" customFormat="1">
      <c r="A226" s="156"/>
      <c r="B226" s="516" t="s">
        <v>2175</v>
      </c>
      <c r="C226" s="888" t="s">
        <v>210</v>
      </c>
      <c r="D226" s="888"/>
      <c r="E226" s="888"/>
      <c r="F226" s="888"/>
      <c r="G226" s="888"/>
      <c r="H226" s="888"/>
      <c r="I226" s="888"/>
      <c r="J226" s="891" t="s">
        <v>2223</v>
      </c>
      <c r="K226" s="891"/>
      <c r="L226" s="891"/>
      <c r="M226" s="891"/>
      <c r="N226" s="891"/>
      <c r="O226" s="891"/>
      <c r="P226" s="891"/>
      <c r="Q226" s="891"/>
      <c r="R226" s="891"/>
      <c r="S226" s="891"/>
      <c r="T226" s="891"/>
      <c r="U226" s="891"/>
      <c r="V226" s="891"/>
      <c r="W226" s="891"/>
      <c r="X226" s="891"/>
      <c r="Y226" s="891"/>
      <c r="Z226" s="891"/>
      <c r="AA226" s="891"/>
      <c r="AB226" s="891"/>
      <c r="AC226" s="891"/>
      <c r="AD226" s="891"/>
      <c r="AE226" s="891"/>
      <c r="AF226" s="891"/>
      <c r="AG226" s="891"/>
      <c r="AH226" s="891"/>
      <c r="AI226" s="891"/>
      <c r="AJ226" s="892"/>
      <c r="AK226" s="397" t="str">
        <f>IF(AND(S143="",S144=""),"",IF(AND(S143&lt;&gt;"×",S144&lt;&gt;"×"),"○","×"))</f>
        <v>○</v>
      </c>
      <c r="AL226" s="401"/>
      <c r="AM226" s="149"/>
    </row>
    <row r="227" spans="1:60" s="157" customFormat="1">
      <c r="A227" s="156"/>
      <c r="B227" s="893" t="s">
        <v>209</v>
      </c>
      <c r="C227" s="888" t="s">
        <v>211</v>
      </c>
      <c r="D227" s="888"/>
      <c r="E227" s="888"/>
      <c r="F227" s="888"/>
      <c r="G227" s="888"/>
      <c r="H227" s="888"/>
      <c r="I227" s="888"/>
      <c r="J227" s="891" t="s">
        <v>212</v>
      </c>
      <c r="K227" s="891"/>
      <c r="L227" s="891"/>
      <c r="M227" s="891"/>
      <c r="N227" s="891"/>
      <c r="O227" s="891"/>
      <c r="P227" s="891"/>
      <c r="Q227" s="891"/>
      <c r="R227" s="891"/>
      <c r="S227" s="891"/>
      <c r="T227" s="891"/>
      <c r="U227" s="891"/>
      <c r="V227" s="891"/>
      <c r="W227" s="891"/>
      <c r="X227" s="891"/>
      <c r="Y227" s="891"/>
      <c r="Z227" s="891"/>
      <c r="AA227" s="891"/>
      <c r="AB227" s="891"/>
      <c r="AC227" s="891"/>
      <c r="AD227" s="891"/>
      <c r="AE227" s="891"/>
      <c r="AF227" s="891"/>
      <c r="AG227" s="891"/>
      <c r="AH227" s="891"/>
      <c r="AI227" s="891"/>
      <c r="AJ227" s="892"/>
      <c r="AK227" s="397" t="str">
        <f>AK153</f>
        <v>○</v>
      </c>
      <c r="AL227" s="147"/>
      <c r="AM227" s="149"/>
      <c r="AN227" s="149"/>
      <c r="AO227" s="149"/>
      <c r="AP227" s="149"/>
      <c r="AQ227" s="149"/>
      <c r="AR227" s="149"/>
      <c r="AS227" s="149"/>
      <c r="AT227" s="149"/>
      <c r="AU227" s="149"/>
      <c r="AV227" s="149"/>
      <c r="AW227" s="149"/>
      <c r="AX227" s="149"/>
      <c r="AY227" s="149"/>
      <c r="AZ227" s="149"/>
      <c r="BA227" s="149"/>
      <c r="BB227" s="185"/>
      <c r="BC227" s="149"/>
      <c r="BD227" s="149"/>
      <c r="BE227" s="149"/>
      <c r="BF227" s="149"/>
      <c r="BG227" s="149"/>
      <c r="BH227" s="149"/>
    </row>
    <row r="228" spans="1:60" s="157" customFormat="1">
      <c r="A228" s="156"/>
      <c r="B228" s="894"/>
      <c r="C228" s="895"/>
      <c r="D228" s="895"/>
      <c r="E228" s="895"/>
      <c r="F228" s="895"/>
      <c r="G228" s="895"/>
      <c r="H228" s="895"/>
      <c r="I228" s="895"/>
      <c r="J228" s="896" t="s">
        <v>213</v>
      </c>
      <c r="K228" s="896"/>
      <c r="L228" s="896"/>
      <c r="M228" s="896"/>
      <c r="N228" s="896"/>
      <c r="O228" s="896"/>
      <c r="P228" s="896"/>
      <c r="Q228" s="896"/>
      <c r="R228" s="896"/>
      <c r="S228" s="896"/>
      <c r="T228" s="896"/>
      <c r="U228" s="896"/>
      <c r="V228" s="896"/>
      <c r="W228" s="896"/>
      <c r="X228" s="896"/>
      <c r="Y228" s="896"/>
      <c r="Z228" s="896"/>
      <c r="AA228" s="896"/>
      <c r="AB228" s="896"/>
      <c r="AC228" s="896"/>
      <c r="AD228" s="896"/>
      <c r="AE228" s="896"/>
      <c r="AF228" s="896"/>
      <c r="AG228" s="896"/>
      <c r="AH228" s="896"/>
      <c r="AI228" s="896"/>
      <c r="AJ228" s="897"/>
      <c r="AK228" s="397" t="str">
        <f>AK181</f>
        <v>○</v>
      </c>
      <c r="AL228" s="147"/>
      <c r="AM228" s="149"/>
      <c r="AN228" s="149"/>
      <c r="AO228" s="149"/>
      <c r="AP228" s="149"/>
      <c r="AQ228" s="149"/>
      <c r="AR228" s="149"/>
      <c r="AS228" s="149"/>
      <c r="AT228" s="149"/>
      <c r="AU228" s="149"/>
      <c r="AV228" s="149"/>
      <c r="AW228" s="149"/>
      <c r="AX228" s="149"/>
      <c r="AY228" s="149"/>
      <c r="AZ228" s="149"/>
      <c r="BA228" s="149"/>
      <c r="BB228" s="185"/>
      <c r="BC228" s="149"/>
      <c r="BD228" s="149"/>
      <c r="BE228" s="149"/>
      <c r="BF228" s="149"/>
      <c r="BG228" s="149"/>
      <c r="BH228" s="149"/>
    </row>
    <row r="229" spans="1:60" ht="7.5" customHeight="1">
      <c r="A229" s="147"/>
      <c r="B229" s="147"/>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7"/>
      <c r="AL229" s="147"/>
    </row>
    <row r="230" spans="1:60">
      <c r="A230" s="147"/>
      <c r="B230" s="883" t="s">
        <v>214</v>
      </c>
      <c r="C230" s="883"/>
      <c r="D230" s="883"/>
      <c r="E230" s="883"/>
      <c r="F230" s="883"/>
      <c r="G230" s="883"/>
      <c r="H230" s="883"/>
      <c r="I230" s="883"/>
      <c r="J230" s="883"/>
      <c r="K230" s="883"/>
      <c r="L230" s="883"/>
      <c r="M230" s="883"/>
      <c r="N230" s="883"/>
      <c r="O230" s="883"/>
      <c r="P230" s="883"/>
      <c r="Q230" s="883"/>
      <c r="R230" s="883"/>
      <c r="S230" s="883"/>
      <c r="T230" s="883"/>
      <c r="U230" s="883"/>
      <c r="V230" s="883"/>
      <c r="W230" s="883"/>
      <c r="X230" s="883"/>
      <c r="Y230" s="883"/>
      <c r="Z230" s="883"/>
      <c r="AA230" s="883"/>
      <c r="AB230" s="883"/>
      <c r="AC230" s="883"/>
      <c r="AD230" s="883"/>
      <c r="AE230" s="883"/>
      <c r="AF230" s="883"/>
      <c r="AG230" s="883"/>
      <c r="AH230" s="883"/>
      <c r="AI230" s="883"/>
      <c r="AJ230" s="883"/>
      <c r="AK230" s="883"/>
      <c r="AL230" s="147"/>
    </row>
    <row r="231" spans="1:60">
      <c r="A231" s="147"/>
      <c r="B231" s="402" t="s">
        <v>27</v>
      </c>
      <c r="C231" s="884" t="s">
        <v>215</v>
      </c>
      <c r="D231" s="884"/>
      <c r="E231" s="884"/>
      <c r="F231" s="884"/>
      <c r="G231" s="884"/>
      <c r="H231" s="884"/>
      <c r="I231" s="884"/>
      <c r="J231" s="884"/>
      <c r="K231" s="884"/>
      <c r="L231" s="884"/>
      <c r="M231" s="884"/>
      <c r="N231" s="884"/>
      <c r="O231" s="884"/>
      <c r="P231" s="884"/>
      <c r="Q231" s="884"/>
      <c r="R231" s="884"/>
      <c r="S231" s="884"/>
      <c r="T231" s="884"/>
      <c r="U231" s="884"/>
      <c r="V231" s="884"/>
      <c r="W231" s="884"/>
      <c r="X231" s="884"/>
      <c r="Y231" s="884"/>
      <c r="Z231" s="884"/>
      <c r="AA231" s="884"/>
      <c r="AB231" s="884"/>
      <c r="AC231" s="884"/>
      <c r="AD231" s="884"/>
      <c r="AE231" s="884"/>
      <c r="AF231" s="884"/>
      <c r="AG231" s="884"/>
      <c r="AH231" s="884"/>
      <c r="AI231" s="884"/>
      <c r="AJ231" s="885"/>
      <c r="AK231" s="397" t="str">
        <f>AK187</f>
        <v>○</v>
      </c>
      <c r="AL231" s="147"/>
    </row>
    <row r="232" spans="1:60" ht="13.5" customHeight="1">
      <c r="B232" s="403" t="s">
        <v>27</v>
      </c>
      <c r="C232" s="886" t="s">
        <v>2094</v>
      </c>
      <c r="D232" s="886"/>
      <c r="E232" s="886"/>
      <c r="F232" s="886"/>
      <c r="G232" s="886"/>
      <c r="H232" s="886"/>
      <c r="I232" s="886"/>
      <c r="J232" s="886"/>
      <c r="K232" s="886"/>
      <c r="L232" s="886"/>
      <c r="M232" s="886"/>
      <c r="N232" s="886"/>
      <c r="O232" s="886"/>
      <c r="P232" s="886"/>
      <c r="Q232" s="886"/>
      <c r="R232" s="886"/>
      <c r="S232" s="886"/>
      <c r="T232" s="886"/>
      <c r="U232" s="886"/>
      <c r="V232" s="886"/>
      <c r="W232" s="886"/>
      <c r="X232" s="886"/>
      <c r="Y232" s="886"/>
      <c r="Z232" s="886"/>
      <c r="AA232" s="886"/>
      <c r="AB232" s="886"/>
      <c r="AC232" s="886"/>
      <c r="AD232" s="886"/>
      <c r="AE232" s="886"/>
      <c r="AF232" s="886"/>
      <c r="AG232" s="886"/>
      <c r="AH232" s="886"/>
      <c r="AI232" s="886"/>
      <c r="AJ232" s="887"/>
      <c r="AK232" s="397" t="str">
        <f>AK197</f>
        <v>○</v>
      </c>
      <c r="AL232" s="147"/>
    </row>
    <row r="233" spans="1:60" ht="4.5" customHeight="1">
      <c r="A233" s="147"/>
      <c r="B233" s="147"/>
      <c r="C233" s="147"/>
      <c r="D233" s="147"/>
      <c r="E233" s="147"/>
      <c r="F233" s="147"/>
      <c r="G233" s="147"/>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c r="AD233" s="147"/>
      <c r="AE233" s="147"/>
      <c r="AF233" s="147"/>
      <c r="AG233" s="147"/>
      <c r="AH233" s="147"/>
      <c r="AI233" s="147"/>
      <c r="AJ233" s="147"/>
      <c r="AK233" s="147"/>
      <c r="AL233" s="147"/>
    </row>
    <row r="247" spans="2:60">
      <c r="AN247" s="378"/>
      <c r="AO247" s="378"/>
      <c r="AP247" s="378"/>
      <c r="AQ247" s="378"/>
      <c r="AR247" s="378"/>
      <c r="AS247" s="378"/>
      <c r="AT247" s="378"/>
      <c r="AU247" s="378"/>
      <c r="AV247" s="378"/>
      <c r="AW247" s="378"/>
      <c r="AX247" s="378"/>
      <c r="AY247" s="378"/>
      <c r="AZ247" s="378"/>
      <c r="BA247" s="378"/>
      <c r="BB247" s="378"/>
      <c r="BC247" s="378"/>
      <c r="BD247" s="378"/>
      <c r="BE247" s="378"/>
      <c r="BF247" s="378"/>
      <c r="BG247" s="378"/>
      <c r="BH247" s="378"/>
    </row>
    <row r="248" spans="2:60" s="378" customFormat="1">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row>
    <row r="249" spans="2:60" s="378" customFormat="1">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row>
    <row r="250" spans="2:60" s="378" customFormat="1">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sheetData>
  <sheetProtection algorithmName="SHA-512" hashValue="a4spcU9f9s3OHyLA3SPx0abkzOuqZXuMD8nL/x5p2leOJ0rhLcGnMzJmvsBnYV1T3OQTSXSolZZj1Hif50ktRw==" saltValue="TwtpU6SOBzDo4iuYzYJ0fw==" spinCount="100000" sheet="1"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3:X204 T202 U46 T47 T45" xr:uid="{A226FE8D-4A12-433D-BF82-8CAD43026B1C}"/>
    <dataValidation imeMode="halfAlpha" allowBlank="1" showInputMessage="1" showErrorMessage="1" sqref="K201:L201 E201:F201 H201:I201 B13 L13 Q43 AA43 T43 AD43" xr:uid="{DC06D2AC-3E2D-4A03-BFBB-28A94BFF2953}"/>
  </dataValidations>
  <hyperlinks>
    <hyperlink ref="Z13" r:id="rId1" xr:uid="{8ED2FD31-E031-4B75-A230-13C3B6BDC586}"/>
  </hyperlinks>
  <pageMargins left="0.70866141732283472" right="0.70866141732283472" top="0.74803149606299213" bottom="0.74803149606299213" header="0.31496062992125984" footer="0.31496062992125984"/>
  <pageSetup paperSize="9" scale="82" fitToHeight="0" orientation="portrait"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codeName="Sheet2">
    <pageSetUpPr fitToPage="1"/>
  </sheetPr>
  <dimension ref="A1:CJ73"/>
  <sheetViews>
    <sheetView showGridLines="0" view="pageBreakPreview" zoomScaleNormal="53" zoomScaleSheetLayoutView="100" workbookViewId="0">
      <selection activeCell="Y5" sqref="Y5:AD5"/>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2119</v>
      </c>
      <c r="O1" s="997"/>
      <c r="P1" s="997"/>
      <c r="Q1" s="997"/>
      <c r="R1" s="997"/>
      <c r="S1" s="997"/>
      <c r="T1" s="997"/>
      <c r="U1" s="997"/>
      <c r="V1" s="997"/>
      <c r="W1" s="997"/>
      <c r="X1" s="997"/>
      <c r="Y1" s="997"/>
      <c r="Z1" s="997"/>
      <c r="AA1" s="997"/>
      <c r="AB1" s="997"/>
      <c r="AC1" s="997"/>
      <c r="AD1" s="997"/>
      <c r="AE1" s="997"/>
      <c r="AF1" s="1127" t="s">
        <v>25</v>
      </c>
      <c r="AG1" s="1127"/>
      <c r="AH1" s="1127"/>
      <c r="AI1" s="1128" t="str">
        <f>IF(G5="","",G5)</f>
        <v>東京都</v>
      </c>
      <c r="AJ1" s="1128"/>
      <c r="AK1" s="1128"/>
      <c r="AL1" s="1128"/>
      <c r="AM1" s="1128"/>
      <c r="AN1" s="1128"/>
      <c r="AO1" s="1128"/>
      <c r="AP1" s="1128"/>
      <c r="AS1" s="958" t="str">
        <f>B9&amp;G9&amp;L9</f>
        <v>処遇加算Ⅰ特定加算Ⅰベア加算なし</v>
      </c>
      <c r="AT1" s="959"/>
      <c r="AU1" s="959"/>
      <c r="AV1" s="959"/>
      <c r="AW1" s="959"/>
      <c r="AX1" s="959"/>
      <c r="AY1" s="959"/>
      <c r="AZ1" s="959"/>
      <c r="BA1" s="959"/>
      <c r="BB1" s="959"/>
      <c r="BC1" s="959"/>
      <c r="BD1" s="959"/>
      <c r="BE1" s="960"/>
      <c r="BF1" s="957" t="str">
        <f>IFERROR(VLOOKUP(Y5,【参考】数式用!$AH$2:$AI$34,2,FALSE),"")</f>
        <v>施設入所支援</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535"/>
      <c r="AR2" s="535"/>
      <c r="CE2" s="918" t="s">
        <v>2193</v>
      </c>
      <c r="CF2" s="918"/>
      <c r="CG2" s="918"/>
      <c r="CH2" s="918"/>
      <c r="CI2" s="1132">
        <f>IF(AI1&lt;&gt;"",1,"")</f>
        <v>1</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t="str">
        <f>IF(AND(L9="ベア加算",Q49="ベア加算"),1,"")</f>
        <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f>IF(OR(OR(G49="処遇加算Ⅰ",G49="処遇加算Ⅱ"),OR(AS48="処遇加算Ⅰ",AS48="処遇加算Ⅱ")),1,"")</f>
        <v>1</v>
      </c>
      <c r="CJ4" s="917"/>
    </row>
    <row r="5" spans="1:88" ht="33" customHeight="1">
      <c r="B5" s="1250">
        <v>1334567890</v>
      </c>
      <c r="C5" s="1250"/>
      <c r="D5" s="1250"/>
      <c r="E5" s="1250"/>
      <c r="F5" s="1250"/>
      <c r="G5" s="1251" t="s">
        <v>2344</v>
      </c>
      <c r="H5" s="1251"/>
      <c r="I5" s="1251"/>
      <c r="J5" s="1252" t="s">
        <v>4</v>
      </c>
      <c r="K5" s="1252"/>
      <c r="L5" s="1252"/>
      <c r="M5" s="1253" t="s">
        <v>5</v>
      </c>
      <c r="N5" s="1253"/>
      <c r="O5" s="1253"/>
      <c r="P5" s="1254" t="s">
        <v>2345</v>
      </c>
      <c r="Q5" s="1255"/>
      <c r="R5" s="1255"/>
      <c r="S5" s="1255"/>
      <c r="T5" s="1255"/>
      <c r="U5" s="1255"/>
      <c r="V5" s="1255"/>
      <c r="W5" s="1255"/>
      <c r="X5" s="1256"/>
      <c r="Y5" s="1257" t="s">
        <v>2250</v>
      </c>
      <c r="Z5" s="1257"/>
      <c r="AA5" s="1257"/>
      <c r="AB5" s="1257"/>
      <c r="AC5" s="1257"/>
      <c r="AD5" s="1257"/>
      <c r="AE5" s="1258">
        <v>2250000</v>
      </c>
      <c r="AF5" s="1259"/>
      <c r="AG5" s="1259"/>
      <c r="AH5" s="1260"/>
      <c r="AI5" s="1258">
        <v>400000</v>
      </c>
      <c r="AJ5" s="1259"/>
      <c r="AK5" s="1259"/>
      <c r="AL5" s="1260"/>
      <c r="AM5" s="926">
        <f>AE5-AI5</f>
        <v>1850000</v>
      </c>
      <c r="AN5" s="927"/>
      <c r="AO5" s="927"/>
      <c r="AP5" s="928"/>
      <c r="AS5" s="80"/>
      <c r="AT5" s="911"/>
      <c r="AU5" s="911"/>
      <c r="AV5" s="911"/>
      <c r="AW5" s="911"/>
      <c r="AX5" s="911"/>
      <c r="AY5" s="911"/>
      <c r="AZ5" s="911"/>
      <c r="BA5" s="81"/>
      <c r="CE5" s="918" t="s">
        <v>2186</v>
      </c>
      <c r="CF5" s="918"/>
      <c r="CG5" s="918"/>
      <c r="CH5" s="918"/>
      <c r="CI5" s="916">
        <f>IF(OR(G49="処遇加算Ⅰ",AS48="処遇加算Ⅰ"),1,"")</f>
        <v>1</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f>IF(OR(AH61=1,AP61=1),1,"")</f>
        <v>1</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新加算Ⅰ</v>
      </c>
      <c r="W8" s="930"/>
      <c r="X8" s="930"/>
      <c r="Y8" s="930"/>
      <c r="Z8" s="931"/>
      <c r="AA8" s="919" t="str">
        <f>IFERROR(VLOOKUP(AS1,【参考】数式用2!E6:L23,4,FALSE),"")</f>
        <v>交付金を取得する場合、４月からベア加算の算定が必要。その場合、６月以降は自然と新加算Ⅰに移行可能。</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29" t="str">
        <f>IF(OR(V8="新加算Ⅰ",V8="新加算Ⅱ",V8="新加算Ⅲ",V8="新加算Ⅴ(１)",V8="新加算Ⅴ(３)",V8="新加算Ⅴ(８)"),"○","")</f>
        <v>○</v>
      </c>
      <c r="AX8" s="1129" t="str">
        <f>IF(OR(V8="新加算Ⅰ",V8="新加算Ⅱ",V8="新加算Ⅴ(１)",V8="新加算Ⅴ(２)",V8="新加算Ⅴ(３)",V8="新加算Ⅴ(４)",V8="新加算Ⅴ(５)",V8="新加算Ⅴ(６)",V8="新加算Ⅴ(７)",V8="新加算Ⅴ(９)",V8="新加算Ⅴ(10)",V8="新加算Ⅴ(12)"),"○","")</f>
        <v>○</v>
      </c>
      <c r="AY8" s="1129" t="str">
        <f>IF(OR(V8="新加算Ⅰ",V8="新加算Ⅴ(１)",V8="新加算Ⅴ(２)",V8="新加算Ⅴ(５)",V8="新加算Ⅴ(７)",V8="新加算Ⅴ(10)"),"○","")</f>
        <v>○</v>
      </c>
      <c r="AZ8" s="1129" t="str">
        <f>IF(OR(V8="新加算Ⅰ",V8="新加算Ⅱ",V8="新加算Ⅴ(１)",V8="新加算Ⅴ(２)",V8="新加算Ⅴ(３)",V8="新加算Ⅴ(４)",V8="新加算Ⅴ(５)",V8="新加算Ⅴ(６)",V8="新加算Ⅴ(７)",V8="新加算Ⅴ(９)",V8="新加算Ⅴ(10)",V8="新加算Ⅴ(12)"),"○","")</f>
        <v>○</v>
      </c>
      <c r="BA8" s="81"/>
      <c r="CE8" s="1136" t="s">
        <v>2188</v>
      </c>
      <c r="CF8" s="1136"/>
      <c r="CG8" s="1136"/>
      <c r="CH8" s="1136"/>
      <c r="CI8" s="916" t="str">
        <f>IF(AND(AP62=1,AL41=""),1,"")</f>
        <v/>
      </c>
      <c r="CJ8" s="917"/>
    </row>
    <row r="9" spans="1:88" ht="26.25" customHeight="1">
      <c r="B9" s="1261" t="s">
        <v>7</v>
      </c>
      <c r="C9" s="1262"/>
      <c r="D9" s="1262"/>
      <c r="E9" s="1262"/>
      <c r="F9" s="1263"/>
      <c r="G9" s="1264" t="s">
        <v>234</v>
      </c>
      <c r="H9" s="1265"/>
      <c r="I9" s="1265"/>
      <c r="J9" s="1265"/>
      <c r="K9" s="1266"/>
      <c r="L9" s="1267" t="s">
        <v>9</v>
      </c>
      <c r="M9" s="1268"/>
      <c r="N9" s="1268"/>
      <c r="O9" s="1268"/>
      <c r="P9" s="1269"/>
      <c r="Q9" s="1031" t="s">
        <v>2052</v>
      </c>
      <c r="R9" s="1032"/>
      <c r="S9" s="1032"/>
      <c r="T9" s="945"/>
      <c r="U9" s="946"/>
      <c r="V9" s="932">
        <f>IFERROR(VLOOKUP(Y5,【参考】数式用!$A$5:$AB$37,MATCH(V8,【参考】数式用!$B$4:$AB$4,0)+1,FALSE),"")</f>
        <v>0.159</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f>IF(OR(AH62=1,AP62=1),1,"")</f>
        <v>1</v>
      </c>
      <c r="CJ9" s="917"/>
    </row>
    <row r="10" spans="1:88" ht="11.25" customHeight="1">
      <c r="B10" s="1057">
        <f>IFERROR(VLOOKUP(Y5,【参考】数式用!$A$5:$J$37,MATCH(B9,【参考】数式用!$B$4:$J$4,0)+1,0),"")</f>
        <v>8.5999999999999993E-2</v>
      </c>
      <c r="C10" s="1058"/>
      <c r="D10" s="1058"/>
      <c r="E10" s="1058"/>
      <c r="F10" s="1059"/>
      <c r="G10" s="1057">
        <f>IFERROR(VLOOKUP(Y5,【参考】数式用!$A$5:$J$37,MATCH(G9,【参考】数式用!$B$4:$J$4,0)+1,0),"")</f>
        <v>2.1000000000000001E-2</v>
      </c>
      <c r="H10" s="1058"/>
      <c r="I10" s="1058"/>
      <c r="J10" s="1058"/>
      <c r="K10" s="1059"/>
      <c r="L10" s="1063">
        <f>IFERROR(VLOOKUP(Y5,【参考】数式用!$A$5:$J$37,MATCH(L9,【参考】数式用!$B$4:$J$4,0)+1,0),"")</f>
        <v>0</v>
      </c>
      <c r="M10" s="1064"/>
      <c r="N10" s="1064"/>
      <c r="O10" s="1064"/>
      <c r="P10" s="1065"/>
      <c r="Q10" s="1069">
        <f>SUM(B10,G10,L10)</f>
        <v>0.107</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1</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新加算Ⅴ(１)</v>
      </c>
      <c r="W11" s="999"/>
      <c r="X11" s="999"/>
      <c r="Y11" s="999"/>
      <c r="Z11" s="999"/>
      <c r="AA11" s="919" t="str">
        <f>IFERROR(VLOOKUP(AS1,【参考】数式用2!E6:L23,6,FALSE),"")</f>
        <v>４月からベア加算を算定せず、６月から月額賃金改善要件Ⅱも満たさない場合、Ⅴ(1)となる。なお、R7年度以降は月額賃金改善要件Ⅱが必要。</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29" t="str">
        <f>IF(OR(V11="新加算Ⅰ",V11="新加算Ⅱ",V11="新加算Ⅲ",V11="新加算Ⅴ(１)",V11="新加算Ⅴ(３)",V11="新加算Ⅴ(８)"),"○","")</f>
        <v>○</v>
      </c>
      <c r="AX11" s="1129" t="str">
        <f>IF(OR(V11="新加算Ⅰ",V11="新加算Ⅱ",V11="新加算Ⅴ(１)",V11="新加算Ⅴ(２)",V11="新加算Ⅴ(３)",V11="新加算Ⅴ(４)",V11="新加算Ⅴ(５)",V11="新加算Ⅴ(６)",V11="新加算Ⅴ(７)",V11="新加算Ⅴ(９)",V11="新加算Ⅴ(10)",V11="新加算Ⅴ(12)"),"○","")</f>
        <v>○</v>
      </c>
      <c r="AY11" s="1129" t="str">
        <f>IF(OR(V11="新加算Ⅰ",V11="新加算Ⅴ(１)",V11="新加算Ⅴ(２)",V11="新加算Ⅴ(５)",V11="新加算Ⅴ(７)",V11="新加算Ⅴ(10)"),"○","")</f>
        <v>○</v>
      </c>
      <c r="AZ11" s="1129" t="str">
        <f>IF(OR(V11="新加算Ⅰ",V11="新加算Ⅱ",V11="新加算Ⅴ(１)",V11="新加算Ⅴ(２)",V11="新加算Ⅴ(３)",V11="新加算Ⅴ(４)",V11="新加算Ⅴ(５)",V11="新加算Ⅴ(６)",V11="新加算Ⅴ(７)",V11="新加算Ⅴ(９)",V11="新加算Ⅴ(10)",V11="新加算Ⅴ(12)"),"○","")</f>
        <v>○</v>
      </c>
      <c r="BA11" s="97"/>
    </row>
    <row r="12" spans="1:88" ht="25.5" customHeight="1" thickBot="1">
      <c r="A12" s="75"/>
      <c r="B12" s="1026"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26"/>
      <c r="D12" s="1026"/>
      <c r="E12" s="1026"/>
      <c r="F12" s="1026"/>
      <c r="G12" s="1026"/>
      <c r="H12" s="1026"/>
      <c r="I12" s="1026"/>
      <c r="J12" s="1026"/>
      <c r="K12" s="1026"/>
      <c r="L12" s="1026"/>
      <c r="M12" s="1026"/>
      <c r="N12" s="1026"/>
      <c r="O12" s="1026"/>
      <c r="P12" s="1026"/>
      <c r="Q12" s="1026"/>
      <c r="R12" s="1026"/>
      <c r="S12" s="1026"/>
      <c r="T12" s="956"/>
      <c r="U12" s="946"/>
      <c r="V12" s="998">
        <f>IFERROR(VLOOKUP(Y5,【参考】数式用!$A$5:$AB$37,MATCH(V11,【参考】数式用!$B$4:$AB$4,0)+1,FALSE),"")</f>
        <v>0.13100000000000001</v>
      </c>
      <c r="W12" s="998"/>
      <c r="X12" s="998"/>
      <c r="Y12" s="998"/>
      <c r="Z12" s="998"/>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531"/>
      <c r="V14" s="999" t="str">
        <f>IFERROR(IF(VLOOKUP(AS1,【参考】数式用2!E6:L23,7,FALSE)="","",VLOOKUP(AS1,【参考】数式用2!E6:L23,7,FALSE)),"")</f>
        <v/>
      </c>
      <c r="W14" s="999"/>
      <c r="X14" s="999"/>
      <c r="Y14" s="999"/>
      <c r="Z14" s="999"/>
      <c r="AA14" s="948">
        <f>IFERROR(VLOOKUP(AS1,【参考】数式用2!E6:L23,8,FALSE),"")</f>
        <v>0</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1270">
        <v>6</v>
      </c>
      <c r="E15" s="534" t="s">
        <v>2111</v>
      </c>
      <c r="F15" s="1270">
        <v>4</v>
      </c>
      <c r="G15" s="534" t="s">
        <v>2112</v>
      </c>
      <c r="H15" s="983" t="s">
        <v>2113</v>
      </c>
      <c r="I15" s="983"/>
      <c r="J15" s="996"/>
      <c r="K15" s="1270">
        <v>7</v>
      </c>
      <c r="L15" s="534" t="s">
        <v>2111</v>
      </c>
      <c r="M15" s="1270">
        <v>3</v>
      </c>
      <c r="N15" s="534" t="s">
        <v>2112</v>
      </c>
      <c r="O15" s="534" t="s">
        <v>2114</v>
      </c>
      <c r="P15" s="99">
        <f>(K15*12+M15)-(D15*12+F15)+1</f>
        <v>12</v>
      </c>
      <c r="Q15" s="983" t="s">
        <v>2115</v>
      </c>
      <c r="R15" s="983"/>
      <c r="S15" s="100" t="s">
        <v>69</v>
      </c>
      <c r="U15" s="531"/>
      <c r="V15" s="984" t="str">
        <f>IFERROR(VLOOKUP(Y5,【参考】数式用!$A$5:$AB$37,MATCH(V14,【参考】数式用!$B$4:$AB$4,0)+1,FALSE),"")</f>
        <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531"/>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532"/>
      <c r="U17" s="532"/>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！R7年度以降、いずれの区分でも必要になる上、R6.4時点でのベア加算の算定がR6.2-5の交付金の要件となるため、早期の対応を推奨。</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533" t="str">
        <f>IFERROR(IF(L9="ベア加算","✓",""),"")</f>
        <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533" t="str">
        <f>IFERROR(IF(OR(B9="処遇加算Ⅰ",B9="処遇加算Ⅱ"),"✓",""),"")</f>
        <v>✓</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533" t="str">
        <f>IFERROR(IF(B9="処遇加算Ⅲ","✓",""),"")</f>
        <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533"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533" t="str">
        <f>IFERROR(IF(OR(B9="処遇加算Ⅰ",B9="処遇加算Ⅱ"),"✓",""),"")</f>
        <v>✓</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533" t="str">
        <f>IFERROR(IF(B9="処遇加算Ⅲ","✓",""),"")</f>
        <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533"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533" t="str">
        <f>IFERROR(IF(B9="処遇加算Ⅰ","✓",""),"")</f>
        <v>✓</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533" t="str">
        <f>IFERROR(IF(AND(B9&lt;&gt;"",B9&lt;&gt;"処遇加算Ⅰ"),"✓",""),"")</f>
        <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533" t="str">
        <f>IFERROR(IF(OR(G9="特定加算Ⅰ",G9="特定加算Ⅱ"),"✓",""),"")</f>
        <v>✓</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533" t="str">
        <f>IFERROR(IF(G9="特定加算なし","✓",""),"")</f>
        <v/>
      </c>
      <c r="W37" s="977" t="s">
        <v>15</v>
      </c>
      <c r="X37" s="978"/>
      <c r="Y37" s="978"/>
      <c r="Z37" s="979"/>
      <c r="AA37" s="945"/>
      <c r="AB37" s="946"/>
      <c r="AC37" s="971" t="s">
        <v>2176</v>
      </c>
      <c r="AD37" s="972"/>
      <c r="AE37" s="972"/>
      <c r="AF37" s="972"/>
      <c r="AG37" s="1271">
        <v>0</v>
      </c>
      <c r="AH37" s="1272"/>
      <c r="AI37" s="945"/>
      <c r="AJ37" s="946"/>
      <c r="AK37" s="971" t="s">
        <v>2176</v>
      </c>
      <c r="AL37" s="972"/>
      <c r="AM37" s="972"/>
      <c r="AN37" s="972"/>
      <c r="AO37" s="1271">
        <v>1</v>
      </c>
      <c r="AP37" s="1272"/>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対象加算なし（自動的に要件を満たす）</v>
      </c>
      <c r="H40" s="1001"/>
      <c r="I40" s="1001"/>
      <c r="J40" s="1001"/>
      <c r="K40" s="1001"/>
      <c r="L40" s="1001"/>
      <c r="M40" s="1001"/>
      <c r="N40" s="1001"/>
      <c r="O40" s="1001"/>
      <c r="P40" s="1001"/>
      <c r="Q40" s="1001"/>
      <c r="R40" s="1001"/>
      <c r="S40" s="1001"/>
      <c r="T40" s="1002"/>
      <c r="U40" s="89"/>
      <c r="V40" s="533" t="str">
        <f>IFERROR(IF(G9="特定加算Ⅰ","✓",""),"")</f>
        <v>✓</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533" t="str">
        <f>IFERROR(IF(OR(G9="特定加算Ⅱ",G9="特定加算なし"),"✓",""),"")</f>
        <v/>
      </c>
      <c r="W41" s="977" t="s">
        <v>15</v>
      </c>
      <c r="X41" s="978"/>
      <c r="Y41" s="978"/>
      <c r="Z41" s="979"/>
      <c r="AA41" s="945"/>
      <c r="AB41" s="946"/>
      <c r="AC41" s="127" t="s">
        <v>83</v>
      </c>
      <c r="AD41" s="1273" t="s">
        <v>2283</v>
      </c>
      <c r="AE41" s="1274"/>
      <c r="AF41" s="1274"/>
      <c r="AG41" s="1274"/>
      <c r="AH41" s="1275"/>
      <c r="AI41" s="945"/>
      <c r="AJ41" s="946"/>
      <c r="AK41" s="127" t="s">
        <v>83</v>
      </c>
      <c r="AL41" s="1273" t="s">
        <v>2283</v>
      </c>
      <c r="AM41" s="1274"/>
      <c r="AN41" s="1274"/>
      <c r="AO41" s="1274"/>
      <c r="AP41" s="1275"/>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532"/>
      <c r="AB42" s="532"/>
      <c r="AC42" s="129"/>
      <c r="AD42" s="955" t="s">
        <v>15</v>
      </c>
      <c r="AE42" s="955"/>
      <c r="AF42" s="955"/>
      <c r="AG42" s="955"/>
      <c r="AH42" s="955"/>
      <c r="AI42" s="532"/>
      <c r="AJ42" s="532"/>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2374</v>
      </c>
      <c r="H44" s="1001"/>
      <c r="I44" s="1001"/>
      <c r="J44" s="1001"/>
      <c r="K44" s="1001"/>
      <c r="L44" s="1001"/>
      <c r="M44" s="1001"/>
      <c r="N44" s="1001"/>
      <c r="O44" s="1001"/>
      <c r="P44" s="1001"/>
      <c r="Q44" s="1001"/>
      <c r="R44" s="1001"/>
      <c r="S44" s="1001"/>
      <c r="T44" s="1002"/>
      <c r="U44" s="112"/>
      <c r="V44" s="533" t="str">
        <f>IFERROR(IF(OR(G9="特定加算Ⅰ",G9="特定加算Ⅱ"),"✓",""),"")</f>
        <v>✓</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533" t="str">
        <f>IFERROR(IF(G9="特定加算なし","✓",""),"")</f>
        <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処遇加算Ⅰ</v>
      </c>
      <c r="AT48" s="964"/>
      <c r="AU48" s="964"/>
      <c r="AV48" s="964"/>
      <c r="AW48" s="1276" t="str">
        <f>IFERROR(IF(AND(AP61=1,AP62=1,AP63=1),"特定加算Ⅰ",IF(AND(AP61=1,AP62=2,AP63=1),"特定加算Ⅱ",IF(OR(AP61=2,AP62=2,AP63=2),"特定加算なし",""))),"")</f>
        <v>特定加算Ⅰ</v>
      </c>
      <c r="AX48" s="1276"/>
      <c r="AY48" s="1276"/>
      <c r="AZ48" s="1276"/>
      <c r="BA48" s="964" t="str">
        <f>IFERROR(IF(OR(L9="ベア加算",AP57=1),"ベア加算",IF(AP57=2,"ベア加算なし","")),"")</f>
        <v>ベア加算</v>
      </c>
      <c r="BB48" s="964"/>
      <c r="BC48" s="964"/>
      <c r="BD48" s="964"/>
      <c r="BE48" s="966" t="str">
        <f>AS48&amp;AW48&amp;BA48</f>
        <v>処遇加算Ⅰ特定加算Ⅰベア加算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処遇加算Ⅰ</v>
      </c>
      <c r="H49" s="1088"/>
      <c r="I49" s="1088"/>
      <c r="J49" s="1088"/>
      <c r="K49" s="1113"/>
      <c r="L49" s="1277" t="str">
        <f>IFERROR(IF(G9="","",IF(AND(AH61=1,AH62=1,AH63=1),"特定加算Ⅰ",IF(AND(AH61=1,AH62=2,AH63=1),"特定加算Ⅱ",IF(OR(AH61=2,AH62=2,AH63=2),"特定加算なし","")))),"")</f>
        <v>特定加算Ⅰ</v>
      </c>
      <c r="M49" s="1278"/>
      <c r="N49" s="1278"/>
      <c r="O49" s="1278"/>
      <c r="P49" s="1279"/>
      <c r="Q49" s="1087" t="str">
        <f>IFERROR(IF(OR(L9="ベア加算",AND(L9="ベア加算なし",AH57=1)),"ベア加算",IF(AH57=2,"ベア加算なし","")),"")</f>
        <v>ベア加算</v>
      </c>
      <c r="R49" s="1088"/>
      <c r="S49" s="1088"/>
      <c r="T49" s="1088"/>
      <c r="U49" s="1089"/>
      <c r="V49" s="1090" t="s">
        <v>10</v>
      </c>
      <c r="W49" s="1091"/>
      <c r="X49" s="1091"/>
      <c r="Y49" s="1091"/>
      <c r="Z49" s="1091"/>
      <c r="AA49" s="956"/>
      <c r="AB49" s="956"/>
      <c r="AC49" s="1097" t="str">
        <f>IFERROR(VLOOKUP(BE48,【参考】数式用2!E6:F23,2,FALSE),"")</f>
        <v>新加算Ⅰ</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f>IFERROR(VLOOKUP(Y5,【参考】数式用!$A$5:$J$37,MATCH(G49,【参考】数式用!$B$4:$J$4,0)+1,0),"")</f>
        <v>8.5999999999999993E-2</v>
      </c>
      <c r="H50" s="1101"/>
      <c r="I50" s="1101"/>
      <c r="J50" s="1101"/>
      <c r="K50" s="1102"/>
      <c r="L50" s="1103">
        <f>IFERROR(VLOOKUP(Y5,【参考】数式用!$A$5:$J$37,MATCH(L49,【参考】数式用!$B$4:$J$4,0)+1,0),"")</f>
        <v>2.1000000000000001E-2</v>
      </c>
      <c r="M50" s="1104"/>
      <c r="N50" s="1104"/>
      <c r="O50" s="1104"/>
      <c r="P50" s="1105"/>
      <c r="Q50" s="1106">
        <f>IFERROR(VLOOKUP(Y5,【参考】数式用!$A$5:$J$37,MATCH(Q49,【参考】数式用!$B$4:$J$4,0)+1,0),"")</f>
        <v>2.8000000000000001E-2</v>
      </c>
      <c r="R50" s="1101"/>
      <c r="S50" s="1101"/>
      <c r="T50" s="1101"/>
      <c r="U50" s="1107"/>
      <c r="V50" s="1069">
        <f>SUM(G50,L50,Q50)</f>
        <v>0.13500000000000001</v>
      </c>
      <c r="W50" s="1070"/>
      <c r="X50" s="1070"/>
      <c r="Y50" s="1070"/>
      <c r="Z50" s="1070"/>
      <c r="AA50" s="956"/>
      <c r="AB50" s="956"/>
      <c r="AC50" s="1108">
        <f>IFERROR(VLOOKUP(Y5,【参考】数式用!$A$5:$AB$37,MATCH(AC49,【参考】数式用!$B$4:$AB$4,0)+1,FALSE),"")</f>
        <v>0.159</v>
      </c>
      <c r="AD50" s="1109"/>
      <c r="AE50" s="1109"/>
      <c r="AF50" s="1109"/>
      <c r="AG50" s="1109"/>
      <c r="AH50" s="1110"/>
      <c r="AS50" s="962" t="s">
        <v>2047</v>
      </c>
      <c r="AT50" s="962"/>
      <c r="AU50" s="962"/>
      <c r="AV50" s="962"/>
      <c r="AW50" s="962" t="s">
        <v>2048</v>
      </c>
      <c r="AX50" s="962"/>
      <c r="AY50" s="962"/>
      <c r="AZ50" s="962"/>
      <c r="BA50" s="962" t="s">
        <v>13</v>
      </c>
      <c r="BB50" s="962"/>
      <c r="BC50" s="962"/>
      <c r="BD50" s="962"/>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f>IFERROR(ROUNDDOWN(ROUND(AM5*G50,0),0)*H53,"")</f>
        <v>318200</v>
      </c>
      <c r="H51" s="1016"/>
      <c r="I51" s="1016"/>
      <c r="J51" s="1016"/>
      <c r="K51" s="55" t="s">
        <v>2117</v>
      </c>
      <c r="L51" s="1013">
        <f>IFERROR(ROUNDDOWN(ROUND(AM5*L50,0),0)*H53,"")</f>
        <v>77700</v>
      </c>
      <c r="M51" s="1014"/>
      <c r="N51" s="1014"/>
      <c r="O51" s="1014"/>
      <c r="P51" s="55" t="s">
        <v>2117</v>
      </c>
      <c r="Q51" s="1015">
        <f>IFERROR(ROUNDDOWN(ROUND(AM5*Q50,0),0)*H53,"")</f>
        <v>103600</v>
      </c>
      <c r="R51" s="1016"/>
      <c r="S51" s="1016"/>
      <c r="T51" s="1016"/>
      <c r="U51" s="56" t="s">
        <v>2117</v>
      </c>
      <c r="V51" s="1116">
        <f>IFERROR(SUM(G51,L51,Q51),"")</f>
        <v>499500</v>
      </c>
      <c r="W51" s="1117"/>
      <c r="X51" s="1117"/>
      <c r="Y51" s="1117"/>
      <c r="Z51" s="57" t="s">
        <v>2117</v>
      </c>
      <c r="AB51" s="58"/>
      <c r="AC51" s="1015">
        <f>IFERROR(ROUNDDOWN(ROUND(AM5*AC50,0),0)*AD53,"")</f>
        <v>2941500</v>
      </c>
      <c r="AD51" s="1016"/>
      <c r="AE51" s="1016"/>
      <c r="AF51" s="1016"/>
      <c r="AG51" s="1016"/>
      <c r="AH51" s="56" t="s">
        <v>2117</v>
      </c>
      <c r="AS51" s="967">
        <f>IFERROR(ROUNDDOWN(ROUND(AM5*(G50-B10),0),0)*H53,"")</f>
        <v>0</v>
      </c>
      <c r="AT51" s="967"/>
      <c r="AU51" s="967"/>
      <c r="AV51" s="967"/>
      <c r="AW51" s="967">
        <f>IFERROR(ROUNDDOWN(ROUND(AM5*(L50-G10),0),0)*H53,"")</f>
        <v>0</v>
      </c>
      <c r="AX51" s="967"/>
      <c r="AY51" s="967"/>
      <c r="AZ51" s="967"/>
      <c r="BA51" s="967">
        <f>IFERROR(ROUNDDOWN(ROUND(AM5*(Q50-L10),0),0)*H53,"")</f>
        <v>103600</v>
      </c>
      <c r="BB51" s="967"/>
      <c r="BC51" s="967"/>
      <c r="BD51" s="967"/>
      <c r="BE51" s="967">
        <f>IFERROR(ROUNDDOWN(ROUND(AM5*(AC50-Q10),0),0)*AD53,"")</f>
        <v>962000</v>
      </c>
      <c r="BF51" s="967"/>
      <c r="BG51" s="967"/>
      <c r="BH51" s="967"/>
      <c r="BI51" s="967">
        <f>SUM(AS51:BH51)</f>
        <v>1065600</v>
      </c>
      <c r="BJ51" s="967"/>
      <c r="BK51" s="967"/>
      <c r="BL51" s="967"/>
      <c r="BM51" s="134"/>
      <c r="BN51" s="967">
        <f>IFERROR(ROUNDDOWN(ROUNDDOWN(ROUND(AM5*(VLOOKUP(Y5,【参考】数式用!$A$5:$AB$37,14,FALSE)),0),0)*AD53*0.5,0),"")</f>
        <v>1063750</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(159,100円/月)</v>
      </c>
      <c r="H52" s="1012"/>
      <c r="I52" s="1012"/>
      <c r="J52" s="1012"/>
      <c r="K52" s="1012"/>
      <c r="L52" s="1114" t="str">
        <f>IFERROR("("&amp;TEXT(L51/H53,"#,##0円")&amp;"/月)","")</f>
        <v>(38,850円/月)</v>
      </c>
      <c r="M52" s="1115"/>
      <c r="N52" s="1115"/>
      <c r="O52" s="1115"/>
      <c r="P52" s="1011"/>
      <c r="Q52" s="1012" t="str">
        <f>IFERROR("("&amp;TEXT(Q51/H53,"#,##0円")&amp;"/月)","")</f>
        <v>(51,800円/月)</v>
      </c>
      <c r="R52" s="1012"/>
      <c r="S52" s="1012"/>
      <c r="T52" s="1012"/>
      <c r="U52" s="1012"/>
      <c r="V52" s="1012" t="str">
        <f>IFERROR("("&amp;TEXT(V51/H53,"#,##0円")&amp;"/月)","")</f>
        <v>(249,750円/月)</v>
      </c>
      <c r="W52" s="1012"/>
      <c r="X52" s="1012"/>
      <c r="Y52" s="1012"/>
      <c r="Z52" s="1012"/>
      <c r="AB52" s="58"/>
      <c r="AC52" s="1114" t="str">
        <f>IFERROR("("&amp;TEXT(AC51/AD53,"#,##0円")&amp;"/月)","")</f>
        <v>(294,150円/月)</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216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2055</v>
      </c>
      <c r="V57" s="962"/>
      <c r="W57" s="962"/>
      <c r="X57" s="962"/>
      <c r="Y57" s="962"/>
      <c r="Z57" s="530">
        <f>IF(AND(B9&lt;&gt;"処遇加算なし",F15=4),IF(V21="✓",1,IF(V22="✓",2,"")),"")</f>
        <v>2</v>
      </c>
      <c r="AA57" s="138"/>
      <c r="AB57" s="142"/>
      <c r="AC57" s="962" t="s">
        <v>2055</v>
      </c>
      <c r="AD57" s="962"/>
      <c r="AE57" s="962"/>
      <c r="AF57" s="962"/>
      <c r="AG57" s="962"/>
      <c r="AH57" s="530">
        <f>IF(AND(F15&lt;&gt;4,F15&lt;&gt;5),0,IF(AT8="○",1,0))</f>
        <v>1</v>
      </c>
      <c r="AI57" s="145"/>
      <c r="AJ57" s="142"/>
      <c r="AK57" s="962" t="s">
        <v>2055</v>
      </c>
      <c r="AL57" s="962"/>
      <c r="AM57" s="962"/>
      <c r="AN57" s="962"/>
      <c r="AO57" s="962"/>
      <c r="AP57" s="530">
        <f>IF(AT8="○",1,0)</f>
        <v>1</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2056</v>
      </c>
      <c r="V58" s="970"/>
      <c r="W58" s="970"/>
      <c r="X58" s="970"/>
      <c r="Y58" s="970"/>
      <c r="Z58" s="530">
        <f>IF(AND(B9&lt;&gt;"処遇加算なし",F15=4),IF(V24="✓",1,IF(V25="✓",2,IF(V26="✓",3,""))),"")</f>
        <v>1</v>
      </c>
      <c r="AA58" s="138"/>
      <c r="AB58" s="142"/>
      <c r="AC58" s="970" t="s">
        <v>2056</v>
      </c>
      <c r="AD58" s="970"/>
      <c r="AE58" s="970"/>
      <c r="AF58" s="970"/>
      <c r="AG58" s="970"/>
      <c r="AH58" s="530">
        <f>IF(AND(F15&lt;&gt;4,F15&lt;&gt;5),0,IF(AU8="○",1,3))</f>
        <v>1</v>
      </c>
      <c r="AI58" s="145"/>
      <c r="AJ58" s="142"/>
      <c r="AK58" s="970" t="s">
        <v>2056</v>
      </c>
      <c r="AL58" s="970"/>
      <c r="AM58" s="970"/>
      <c r="AN58" s="970"/>
      <c r="AO58" s="970"/>
      <c r="AP58" s="530">
        <f>IF(AU8="○",1,3)</f>
        <v>1</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2057</v>
      </c>
      <c r="V59" s="970"/>
      <c r="W59" s="970"/>
      <c r="X59" s="970"/>
      <c r="Y59" s="970"/>
      <c r="Z59" s="530">
        <f>IF(AND(B9&lt;&gt;"処遇加算なし",F15=4),IF(V28="✓",1,IF(V29="✓",2,IF(V30="✓",3,""))),"")</f>
        <v>1</v>
      </c>
      <c r="AA59" s="138"/>
      <c r="AB59" s="142"/>
      <c r="AC59" s="970" t="s">
        <v>2057</v>
      </c>
      <c r="AD59" s="970"/>
      <c r="AE59" s="970"/>
      <c r="AF59" s="970"/>
      <c r="AG59" s="970"/>
      <c r="AH59" s="530">
        <f>IF(AND(F15&lt;&gt;4,F15&lt;&gt;5),0,IF(AV8="○",1,3))</f>
        <v>1</v>
      </c>
      <c r="AI59" s="145"/>
      <c r="AJ59" s="142"/>
      <c r="AK59" s="970" t="s">
        <v>2057</v>
      </c>
      <c r="AL59" s="970"/>
      <c r="AM59" s="970"/>
      <c r="AN59" s="970"/>
      <c r="AO59" s="970"/>
      <c r="AP59" s="530">
        <f>IF(AV8="○",1,3)</f>
        <v>1</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2058</v>
      </c>
      <c r="V60" s="970"/>
      <c r="W60" s="970"/>
      <c r="X60" s="970"/>
      <c r="Y60" s="970"/>
      <c r="Z60" s="530">
        <f>IF(AND(B9&lt;&gt;"処遇加算なし",F15=4),IF(V32="✓",1,IF(V33="✓",2,"")),"")</f>
        <v>1</v>
      </c>
      <c r="AA60" s="138"/>
      <c r="AB60" s="142"/>
      <c r="AC60" s="970" t="s">
        <v>2058</v>
      </c>
      <c r="AD60" s="970"/>
      <c r="AE60" s="970"/>
      <c r="AF60" s="970"/>
      <c r="AG60" s="970"/>
      <c r="AH60" s="530">
        <f>IF(AND(F15&lt;&gt;4,F15&lt;&gt;5),0,IF(AW8="○",1,3))</f>
        <v>1</v>
      </c>
      <c r="AI60" s="145"/>
      <c r="AJ60" s="142"/>
      <c r="AK60" s="970" t="s">
        <v>2058</v>
      </c>
      <c r="AL60" s="970"/>
      <c r="AM60" s="970"/>
      <c r="AN60" s="970"/>
      <c r="AO60" s="970"/>
      <c r="AP60" s="530">
        <f>IF(AW8="○",1,3)</f>
        <v>1</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2059</v>
      </c>
      <c r="V61" s="970"/>
      <c r="W61" s="970"/>
      <c r="X61" s="970"/>
      <c r="Y61" s="970"/>
      <c r="Z61" s="530">
        <f>IF(AND(B9&lt;&gt;"処遇加算なし",F15=4),IF(V36="✓",1,IF(V37="✓",2,"")),"")</f>
        <v>1</v>
      </c>
      <c r="AA61" s="138"/>
      <c r="AB61" s="142"/>
      <c r="AC61" s="970" t="s">
        <v>2059</v>
      </c>
      <c r="AD61" s="970"/>
      <c r="AE61" s="970"/>
      <c r="AF61" s="970"/>
      <c r="AG61" s="970"/>
      <c r="AH61" s="530">
        <f>IF(AND(F15&lt;&gt;4,F15&lt;&gt;5),0,IF(AX8="○",1,2))</f>
        <v>1</v>
      </c>
      <c r="AI61" s="145"/>
      <c r="AJ61" s="142"/>
      <c r="AK61" s="970" t="s">
        <v>2059</v>
      </c>
      <c r="AL61" s="970"/>
      <c r="AM61" s="970"/>
      <c r="AN61" s="970"/>
      <c r="AO61" s="970"/>
      <c r="AP61" s="530">
        <f>IF(AX8="○",1,2)</f>
        <v>1</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2060</v>
      </c>
      <c r="V62" s="970"/>
      <c r="W62" s="970"/>
      <c r="X62" s="970"/>
      <c r="Y62" s="970"/>
      <c r="Z62" s="530">
        <f>IF(AND(B9&lt;&gt;"処遇加算なし",F15=4),IF(V40="✓",1,IF(V41="✓",2,"")),"")</f>
        <v>1</v>
      </c>
      <c r="AA62" s="138"/>
      <c r="AB62" s="142"/>
      <c r="AC62" s="970" t="s">
        <v>2060</v>
      </c>
      <c r="AD62" s="970"/>
      <c r="AE62" s="970"/>
      <c r="AF62" s="970"/>
      <c r="AG62" s="970"/>
      <c r="AH62" s="530">
        <f>IF(AND(F15&lt;&gt;4,F15&lt;&gt;5),0,IF(AY8="○",1,2))</f>
        <v>1</v>
      </c>
      <c r="AI62" s="145"/>
      <c r="AJ62" s="142"/>
      <c r="AK62" s="970" t="s">
        <v>2060</v>
      </c>
      <c r="AL62" s="970"/>
      <c r="AM62" s="970"/>
      <c r="AN62" s="970"/>
      <c r="AO62" s="970"/>
      <c r="AP62" s="530">
        <f>IF(AY8="○",1,2)</f>
        <v>1</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2061</v>
      </c>
      <c r="V63" s="962"/>
      <c r="W63" s="962"/>
      <c r="X63" s="962"/>
      <c r="Y63" s="962"/>
      <c r="Z63" s="530">
        <f>IF(AND(B9&lt;&gt;"処遇加算なし",F15=4),IF(V44="✓",1,IF(V45="✓",2,"")),"")</f>
        <v>1</v>
      </c>
      <c r="AA63" s="138"/>
      <c r="AB63" s="142"/>
      <c r="AC63" s="962" t="s">
        <v>2061</v>
      </c>
      <c r="AD63" s="962"/>
      <c r="AE63" s="962"/>
      <c r="AF63" s="962"/>
      <c r="AG63" s="962"/>
      <c r="AH63" s="530">
        <f>IF(AND(F15&lt;&gt;4,F15&lt;&gt;5),0,IF(AZ8="○",1,2))</f>
        <v>1</v>
      </c>
      <c r="AI63" s="145"/>
      <c r="AJ63" s="142"/>
      <c r="AK63" s="962" t="s">
        <v>2061</v>
      </c>
      <c r="AL63" s="962"/>
      <c r="AM63" s="962"/>
      <c r="AN63" s="962"/>
      <c r="AO63" s="962"/>
      <c r="AP63" s="530">
        <f>IF(AZ8="○",1,2)</f>
        <v>1</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R0RH+UUYS6AbRbN/Evpv4ZLw4YoXVkWFRXA+v/ldIv7h/z8fn79BjcQ19xWpiWvrvyMgWz9dzqMymSLlCJqg==" saltValue="MrFCZdVI55LXrIALeQnetg==" spinCount="100000" sheet="1"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EA17F-627F-45D8-9B04-91BAAEA0F117}">
  <sheetPr codeName="Sheet3">
    <pageSetUpPr fitToPage="1"/>
  </sheetPr>
  <dimension ref="A1:CJ73"/>
  <sheetViews>
    <sheetView showGridLines="0" view="pageBreakPreview" zoomScaleNormal="53" zoomScaleSheetLayoutView="100" workbookViewId="0">
      <selection activeCell="AE5" sqref="AE5:AH5"/>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2325</v>
      </c>
      <c r="O1" s="997"/>
      <c r="P1" s="997"/>
      <c r="Q1" s="997"/>
      <c r="R1" s="997"/>
      <c r="S1" s="997"/>
      <c r="T1" s="997"/>
      <c r="U1" s="997"/>
      <c r="V1" s="997"/>
      <c r="W1" s="997"/>
      <c r="X1" s="997"/>
      <c r="Y1" s="997"/>
      <c r="Z1" s="997"/>
      <c r="AA1" s="997"/>
      <c r="AB1" s="997"/>
      <c r="AC1" s="997"/>
      <c r="AD1" s="997"/>
      <c r="AE1" s="997"/>
      <c r="AF1" s="1127" t="s">
        <v>25</v>
      </c>
      <c r="AG1" s="1127"/>
      <c r="AH1" s="1127"/>
      <c r="AI1" s="1128" t="str">
        <f>IF(G5="","",G5)</f>
        <v>東京都</v>
      </c>
      <c r="AJ1" s="1128"/>
      <c r="AK1" s="1128"/>
      <c r="AL1" s="1128"/>
      <c r="AM1" s="1128"/>
      <c r="AN1" s="1128"/>
      <c r="AO1" s="1128"/>
      <c r="AP1" s="1128"/>
      <c r="AS1" s="958" t="str">
        <f>B9&amp;G9&amp;L9</f>
        <v>処遇加算Ⅲ特定加算なしベア加算</v>
      </c>
      <c r="AT1" s="959"/>
      <c r="AU1" s="959"/>
      <c r="AV1" s="959"/>
      <c r="AW1" s="959"/>
      <c r="AX1" s="959"/>
      <c r="AY1" s="959"/>
      <c r="AZ1" s="959"/>
      <c r="BA1" s="959"/>
      <c r="BB1" s="959"/>
      <c r="BC1" s="959"/>
      <c r="BD1" s="959"/>
      <c r="BE1" s="960"/>
      <c r="BF1" s="957" t="str">
        <f>IFERROR(VLOOKUP(Y5,【参考】数式用!$AH$2:$AI$34,2,FALSE),"")</f>
        <v>生活介護</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535"/>
      <c r="AR2" s="535"/>
      <c r="CE2" s="918" t="s">
        <v>2193</v>
      </c>
      <c r="CF2" s="918"/>
      <c r="CG2" s="918"/>
      <c r="CH2" s="918"/>
      <c r="CI2" s="1132">
        <f>IF(AI1&lt;&gt;"",1,"")</f>
        <v>1</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f>IF(AND(L9="ベア加算",Q49="ベア加算"),1,"")</f>
        <v>1</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f>IF(OR(OR(G49="処遇加算Ⅰ",G49="処遇加算Ⅱ"),OR(AS48="処遇加算Ⅰ",AS48="処遇加算Ⅱ")),1,"")</f>
        <v>1</v>
      </c>
      <c r="CJ4" s="917"/>
    </row>
    <row r="5" spans="1:88" ht="33" customHeight="1">
      <c r="B5" s="1250">
        <v>1334567890</v>
      </c>
      <c r="C5" s="1250"/>
      <c r="D5" s="1250"/>
      <c r="E5" s="1250"/>
      <c r="F5" s="1250"/>
      <c r="G5" s="1251" t="s">
        <v>2344</v>
      </c>
      <c r="H5" s="1251"/>
      <c r="I5" s="1251"/>
      <c r="J5" s="1252" t="s">
        <v>4</v>
      </c>
      <c r="K5" s="1252"/>
      <c r="L5" s="1252"/>
      <c r="M5" s="1253" t="s">
        <v>5</v>
      </c>
      <c r="N5" s="1253"/>
      <c r="O5" s="1253"/>
      <c r="P5" s="1254" t="s">
        <v>2352</v>
      </c>
      <c r="Q5" s="1255"/>
      <c r="R5" s="1255"/>
      <c r="S5" s="1255"/>
      <c r="T5" s="1255"/>
      <c r="U5" s="1255"/>
      <c r="V5" s="1255"/>
      <c r="W5" s="1255"/>
      <c r="X5" s="1256"/>
      <c r="Y5" s="1257" t="s">
        <v>2249</v>
      </c>
      <c r="Z5" s="1257"/>
      <c r="AA5" s="1257"/>
      <c r="AB5" s="1257"/>
      <c r="AC5" s="1257"/>
      <c r="AD5" s="1257"/>
      <c r="AE5" s="1258">
        <v>3850000</v>
      </c>
      <c r="AF5" s="1259"/>
      <c r="AG5" s="1259"/>
      <c r="AH5" s="1260"/>
      <c r="AI5" s="1258">
        <v>800000</v>
      </c>
      <c r="AJ5" s="1259"/>
      <c r="AK5" s="1259"/>
      <c r="AL5" s="1260"/>
      <c r="AM5" s="926">
        <f>AE5-AI5</f>
        <v>3050000</v>
      </c>
      <c r="AN5" s="927"/>
      <c r="AO5" s="927"/>
      <c r="AP5" s="928"/>
      <c r="AS5" s="80"/>
      <c r="AT5" s="911"/>
      <c r="AU5" s="911"/>
      <c r="AV5" s="911"/>
      <c r="AW5" s="911"/>
      <c r="AX5" s="911"/>
      <c r="AY5" s="911"/>
      <c r="AZ5" s="911"/>
      <c r="BA5" s="81"/>
      <c r="CE5" s="918" t="s">
        <v>2186</v>
      </c>
      <c r="CF5" s="918"/>
      <c r="CG5" s="918"/>
      <c r="CH5" s="918"/>
      <c r="CI5" s="916">
        <f>IF(OR(G49="処遇加算Ⅰ",AS48="処遇加算Ⅰ"),1,"")</f>
        <v>1</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t="str">
        <f>IF(OR(AH61=1,AP61=1),1,"")</f>
        <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新加算Ⅲ</v>
      </c>
      <c r="W8" s="930"/>
      <c r="X8" s="930"/>
      <c r="Y8" s="930"/>
      <c r="Z8" s="931"/>
      <c r="AA8" s="919"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29" t="str">
        <f>IF(OR(V8="新加算Ⅰ",V8="新加算Ⅱ",V8="新加算Ⅲ",V8="新加算Ⅴ(１)",V8="新加算Ⅴ(３)",V8="新加算Ⅴ(８)"),"○","")</f>
        <v>○</v>
      </c>
      <c r="AX8" s="1129" t="str">
        <f>IF(OR(V8="新加算Ⅰ",V8="新加算Ⅱ",V8="新加算Ⅴ(１)",V8="新加算Ⅴ(２)",V8="新加算Ⅴ(３)",V8="新加算Ⅴ(４)",V8="新加算Ⅴ(５)",V8="新加算Ⅴ(６)",V8="新加算Ⅴ(７)",V8="新加算Ⅴ(９)",V8="新加算Ⅴ(10)",V8="新加算Ⅴ(12)"),"○","")</f>
        <v/>
      </c>
      <c r="AY8" s="1129" t="str">
        <f>IF(OR(V8="新加算Ⅰ",V8="新加算Ⅴ(１)",V8="新加算Ⅴ(２)",V8="新加算Ⅴ(５)",V8="新加算Ⅴ(７)",V8="新加算Ⅴ(10)"),"○","")</f>
        <v/>
      </c>
      <c r="AZ8" s="1129" t="str">
        <f>IF(OR(V8="新加算Ⅰ",V8="新加算Ⅱ",V8="新加算Ⅴ(１)",V8="新加算Ⅴ(２)",V8="新加算Ⅴ(３)",V8="新加算Ⅴ(４)",V8="新加算Ⅴ(５)",V8="新加算Ⅴ(６)",V8="新加算Ⅴ(７)",V8="新加算Ⅴ(９)",V8="新加算Ⅴ(10)",V8="新加算Ⅴ(12)"),"○","")</f>
        <v/>
      </c>
      <c r="BA8" s="81"/>
      <c r="CE8" s="1136" t="s">
        <v>2188</v>
      </c>
      <c r="CF8" s="1136"/>
      <c r="CG8" s="1136"/>
      <c r="CH8" s="1136"/>
      <c r="CI8" s="916" t="str">
        <f>IF(AND(AP62=1,AL41=""),1,"")</f>
        <v/>
      </c>
      <c r="CJ8" s="917"/>
    </row>
    <row r="9" spans="1:88" ht="26.25" customHeight="1">
      <c r="B9" s="1261" t="s">
        <v>232</v>
      </c>
      <c r="C9" s="1262"/>
      <c r="D9" s="1262"/>
      <c r="E9" s="1262"/>
      <c r="F9" s="1263"/>
      <c r="G9" s="1264" t="s">
        <v>11</v>
      </c>
      <c r="H9" s="1265"/>
      <c r="I9" s="1265"/>
      <c r="J9" s="1265"/>
      <c r="K9" s="1266"/>
      <c r="L9" s="1267" t="s">
        <v>13</v>
      </c>
      <c r="M9" s="1268"/>
      <c r="N9" s="1268"/>
      <c r="O9" s="1268"/>
      <c r="P9" s="1269"/>
      <c r="Q9" s="1031" t="s">
        <v>2052</v>
      </c>
      <c r="R9" s="1032"/>
      <c r="S9" s="1032"/>
      <c r="T9" s="945"/>
      <c r="U9" s="946"/>
      <c r="V9" s="932">
        <f>IFERROR(VLOOKUP(Y5,【参考】数式用!$A$5:$AB$37,MATCH(V8,【参考】数式用!$B$4:$AB$4,0)+1,FALSE),"")</f>
        <v>6.699999999999999E-2</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t="str">
        <f>IF(OR(AH62=1,AP62=1),1,"")</f>
        <v/>
      </c>
      <c r="CJ9" s="917"/>
    </row>
    <row r="10" spans="1:88" ht="11.25" customHeight="1">
      <c r="B10" s="1057">
        <f>IFERROR(VLOOKUP(Y5,【参考】数式用!$A$5:$J$37,MATCH(B9,【参考】数式用!$B$4:$J$4,0)+1,0),"")</f>
        <v>1.7999999999999999E-2</v>
      </c>
      <c r="C10" s="1058"/>
      <c r="D10" s="1058"/>
      <c r="E10" s="1058"/>
      <c r="F10" s="1059"/>
      <c r="G10" s="1057">
        <f>IFERROR(VLOOKUP(Y5,【参考】数式用!$A$5:$J$37,MATCH(G9,【参考】数式用!$B$4:$J$4,0)+1,0),"")</f>
        <v>0</v>
      </c>
      <c r="H10" s="1058"/>
      <c r="I10" s="1058"/>
      <c r="J10" s="1058"/>
      <c r="K10" s="1059"/>
      <c r="L10" s="1063">
        <f>IFERROR(VLOOKUP(Y5,【参考】数式用!$A$5:$J$37,MATCH(L9,【参考】数式用!$B$4:$J$4,0)+1,0),"")</f>
        <v>1.0999999999999999E-2</v>
      </c>
      <c r="M10" s="1064"/>
      <c r="N10" s="1064"/>
      <c r="O10" s="1064"/>
      <c r="P10" s="1065"/>
      <c r="Q10" s="1069">
        <f>SUM(B10,G10,L10)</f>
        <v>2.8999999999999998E-2</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0</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新加算Ⅳ</v>
      </c>
      <c r="W11" s="999"/>
      <c r="X11" s="999"/>
      <c r="Y11" s="999"/>
      <c r="Z11" s="999"/>
      <c r="AA11" s="919" t="str">
        <f>IFERROR(VLOOKUP(AS1,【参考】数式用2!E6:L23,6,FALSE),"")</f>
        <v>キャリアパス要件Ⅰ・Ⅱを「R6年度中の対応の誓約」で満たし、４月から旧処遇加算Ⅱを算定可。その場合、６月以降は自然と新加算Ⅳに移行可能。</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29" t="str">
        <f>IF(OR(V11="新加算Ⅰ",V11="新加算Ⅱ",V11="新加算Ⅲ",V11="新加算Ⅴ(１)",V11="新加算Ⅴ(３)",V11="新加算Ⅴ(８)"),"○","")</f>
        <v/>
      </c>
      <c r="AX11" s="1129" t="str">
        <f>IF(OR(V11="新加算Ⅰ",V11="新加算Ⅱ",V11="新加算Ⅴ(１)",V11="新加算Ⅴ(２)",V11="新加算Ⅴ(３)",V11="新加算Ⅴ(４)",V11="新加算Ⅴ(５)",V11="新加算Ⅴ(６)",V11="新加算Ⅴ(７)",V11="新加算Ⅴ(９)",V11="新加算Ⅴ(10)",V11="新加算Ⅴ(12)"),"○","")</f>
        <v/>
      </c>
      <c r="AY11" s="1129" t="str">
        <f>IF(OR(V11="新加算Ⅰ",V11="新加算Ⅴ(１)",V11="新加算Ⅴ(２)",V11="新加算Ⅴ(５)",V11="新加算Ⅴ(７)",V11="新加算Ⅴ(10)"),"○","")</f>
        <v/>
      </c>
      <c r="AZ11" s="1129" t="str">
        <f>IF(OR(V11="新加算Ⅰ",V11="新加算Ⅱ",V11="新加算Ⅴ(１)",V11="新加算Ⅴ(２)",V11="新加算Ⅴ(３)",V11="新加算Ⅴ(４)",V11="新加算Ⅴ(５)",V11="新加算Ⅴ(６)",V11="新加算Ⅴ(７)",V11="新加算Ⅴ(９)",V11="新加算Ⅴ(10)",V11="新加算Ⅴ(12)"),"○","")</f>
        <v/>
      </c>
      <c r="BA11" s="97"/>
    </row>
    <row r="12" spans="1:88" ht="25.5" customHeight="1" thickBot="1">
      <c r="A12" s="75"/>
      <c r="B12" s="1026"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26"/>
      <c r="D12" s="1026"/>
      <c r="E12" s="1026"/>
      <c r="F12" s="1026"/>
      <c r="G12" s="1026"/>
      <c r="H12" s="1026"/>
      <c r="I12" s="1026"/>
      <c r="J12" s="1026"/>
      <c r="K12" s="1026"/>
      <c r="L12" s="1026"/>
      <c r="M12" s="1026"/>
      <c r="N12" s="1026"/>
      <c r="O12" s="1026"/>
      <c r="P12" s="1026"/>
      <c r="Q12" s="1026"/>
      <c r="R12" s="1026"/>
      <c r="S12" s="1026"/>
      <c r="T12" s="956"/>
      <c r="U12" s="946"/>
      <c r="V12" s="998">
        <f>IFERROR(VLOOKUP(Y5,【参考】数式用!$A$5:$AB$37,MATCH(V11,【参考】数式用!$B$4:$AB$4,0)+1,FALSE),"")</f>
        <v>5.4999999999999993E-2</v>
      </c>
      <c r="W12" s="998"/>
      <c r="X12" s="998"/>
      <c r="Y12" s="998"/>
      <c r="Z12" s="998"/>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531"/>
      <c r="V14" s="999" t="str">
        <f>IFERROR(IF(VLOOKUP(AS1,【参考】数式用2!E6:L23,7,FALSE)="","",VLOOKUP(AS1,【参考】数式用2!E6:L23,7,FALSE)),"")</f>
        <v>新加算Ⅴ(13)</v>
      </c>
      <c r="W14" s="999"/>
      <c r="X14" s="999"/>
      <c r="Y14" s="999"/>
      <c r="Z14" s="999"/>
      <c r="AA14" s="948"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1270">
        <v>6</v>
      </c>
      <c r="E15" s="534" t="s">
        <v>2111</v>
      </c>
      <c r="F15" s="1270">
        <v>4</v>
      </c>
      <c r="G15" s="534" t="s">
        <v>2112</v>
      </c>
      <c r="H15" s="983" t="s">
        <v>2113</v>
      </c>
      <c r="I15" s="983"/>
      <c r="J15" s="996"/>
      <c r="K15" s="1270">
        <v>7</v>
      </c>
      <c r="L15" s="534" t="s">
        <v>2111</v>
      </c>
      <c r="M15" s="1270">
        <v>3</v>
      </c>
      <c r="N15" s="534" t="s">
        <v>2112</v>
      </c>
      <c r="O15" s="534" t="s">
        <v>2114</v>
      </c>
      <c r="P15" s="99">
        <f>(K15*12+M15)-(D15*12+F15)+1</f>
        <v>12</v>
      </c>
      <c r="Q15" s="983" t="s">
        <v>2115</v>
      </c>
      <c r="R15" s="983"/>
      <c r="S15" s="100" t="s">
        <v>69</v>
      </c>
      <c r="U15" s="531"/>
      <c r="V15" s="984">
        <f>IFERROR(VLOOKUP(Y5,【参考】数式用!$A$5:$AB$37,MATCH(V14,【参考】数式用!$B$4:$AB$4,0)+1,FALSE),"")</f>
        <v>4.0999999999999995E-2</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531"/>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532"/>
      <c r="U17" s="532"/>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533" t="str">
        <f>IFERROR(IF(L9="ベア加算","✓",""),"")</f>
        <v>✓</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533" t="str">
        <f>IFERROR(IF(OR(B9="処遇加算Ⅰ",B9="処遇加算Ⅱ"),"✓",""),"")</f>
        <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533" t="str">
        <f>IFERROR(IF(B9="処遇加算Ⅲ","✓",""),"")</f>
        <v>✓</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533"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533" t="str">
        <f>IFERROR(IF(OR(B9="処遇加算Ⅰ",B9="処遇加算Ⅱ"),"✓",""),"")</f>
        <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533" t="str">
        <f>IFERROR(IF(B9="処遇加算Ⅲ","✓",""),"")</f>
        <v>✓</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533"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533" t="str">
        <f>IFERROR(IF(B9="処遇加算Ⅰ","✓",""),"")</f>
        <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533" t="str">
        <f>IFERROR(IF(AND(B9&lt;&gt;"",B9&lt;&gt;"処遇加算Ⅰ"),"✓",""),"")</f>
        <v>✓</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533" t="str">
        <f>IFERROR(IF(OR(G9="特定加算Ⅰ",G9="特定加算Ⅱ"),"✓",""),"")</f>
        <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533" t="str">
        <f>IFERROR(IF(G9="特定加算なし","✓",""),"")</f>
        <v>✓</v>
      </c>
      <c r="W37" s="977" t="s">
        <v>15</v>
      </c>
      <c r="X37" s="978"/>
      <c r="Y37" s="978"/>
      <c r="Z37" s="979"/>
      <c r="AA37" s="945"/>
      <c r="AB37" s="946"/>
      <c r="AC37" s="971" t="s">
        <v>2176</v>
      </c>
      <c r="AD37" s="972"/>
      <c r="AE37" s="972"/>
      <c r="AF37" s="972"/>
      <c r="AG37" s="1271">
        <v>0</v>
      </c>
      <c r="AH37" s="1272"/>
      <c r="AI37" s="945"/>
      <c r="AJ37" s="946"/>
      <c r="AK37" s="971" t="s">
        <v>2176</v>
      </c>
      <c r="AL37" s="972"/>
      <c r="AM37" s="972"/>
      <c r="AN37" s="972"/>
      <c r="AO37" s="1271"/>
      <c r="AP37" s="1272"/>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福祉専門職員配置等加算を算定する。</v>
      </c>
      <c r="H40" s="1001"/>
      <c r="I40" s="1001"/>
      <c r="J40" s="1001"/>
      <c r="K40" s="1001"/>
      <c r="L40" s="1001"/>
      <c r="M40" s="1001"/>
      <c r="N40" s="1001"/>
      <c r="O40" s="1001"/>
      <c r="P40" s="1001"/>
      <c r="Q40" s="1001"/>
      <c r="R40" s="1001"/>
      <c r="S40" s="1001"/>
      <c r="T40" s="1002"/>
      <c r="U40" s="89"/>
      <c r="V40" s="533" t="str">
        <f>IFERROR(IF(G9="特定加算Ⅰ","✓",""),"")</f>
        <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533" t="str">
        <f>IFERROR(IF(OR(G9="特定加算Ⅱ",G9="特定加算なし"),"✓",""),"")</f>
        <v>✓</v>
      </c>
      <c r="W41" s="977" t="s">
        <v>15</v>
      </c>
      <c r="X41" s="978"/>
      <c r="Y41" s="978"/>
      <c r="Z41" s="979"/>
      <c r="AA41" s="945"/>
      <c r="AB41" s="946"/>
      <c r="AC41" s="127" t="s">
        <v>83</v>
      </c>
      <c r="AD41" s="1273" t="s">
        <v>2283</v>
      </c>
      <c r="AE41" s="1274"/>
      <c r="AF41" s="1274"/>
      <c r="AG41" s="1274"/>
      <c r="AH41" s="1275"/>
      <c r="AI41" s="945"/>
      <c r="AJ41" s="946"/>
      <c r="AK41" s="127" t="s">
        <v>83</v>
      </c>
      <c r="AL41" s="1273" t="s">
        <v>2283</v>
      </c>
      <c r="AM41" s="1274"/>
      <c r="AN41" s="1274"/>
      <c r="AO41" s="1274"/>
      <c r="AP41" s="1275"/>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532"/>
      <c r="AB42" s="532"/>
      <c r="AC42" s="129"/>
      <c r="AD42" s="955" t="s">
        <v>15</v>
      </c>
      <c r="AE42" s="955"/>
      <c r="AF42" s="955"/>
      <c r="AG42" s="955"/>
      <c r="AH42" s="955"/>
      <c r="AI42" s="532"/>
      <c r="AJ42" s="532"/>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2375</v>
      </c>
      <c r="H44" s="1001"/>
      <c r="I44" s="1001"/>
      <c r="J44" s="1001"/>
      <c r="K44" s="1001"/>
      <c r="L44" s="1001"/>
      <c r="M44" s="1001"/>
      <c r="N44" s="1001"/>
      <c r="O44" s="1001"/>
      <c r="P44" s="1001"/>
      <c r="Q44" s="1001"/>
      <c r="R44" s="1001"/>
      <c r="S44" s="1001"/>
      <c r="T44" s="1002"/>
      <c r="U44" s="112"/>
      <c r="V44" s="533" t="str">
        <f>IFERROR(IF(OR(G9="特定加算Ⅰ",G9="特定加算Ⅱ"),"✓",""),"")</f>
        <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533" t="str">
        <f>IFERROR(IF(G9="特定加算なし","✓",""),"")</f>
        <v>✓</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処遇加算Ⅰ</v>
      </c>
      <c r="AT48" s="964"/>
      <c r="AU48" s="964"/>
      <c r="AV48" s="964"/>
      <c r="AW48" s="1276" t="str">
        <f>IFERROR(IF(AND(AP61=1,AP62=1,AP63=1),"特定加算Ⅰ",IF(AND(AP61=1,AP62=2,AP63=1),"特定加算Ⅱ",IF(OR(AP61=2,AP62=2,AP63=2),"特定加算なし",""))),"")</f>
        <v>特定加算なし</v>
      </c>
      <c r="AX48" s="1276"/>
      <c r="AY48" s="1276"/>
      <c r="AZ48" s="1276"/>
      <c r="BA48" s="964" t="str">
        <f>IFERROR(IF(OR(L9="ベア加算",AP57=1),"ベア加算",IF(AP57=2,"ベア加算なし","")),"")</f>
        <v>ベア加算</v>
      </c>
      <c r="BB48" s="964"/>
      <c r="BC48" s="964"/>
      <c r="BD48" s="964"/>
      <c r="BE48" s="966" t="str">
        <f>AS48&amp;AW48&amp;BA48</f>
        <v>処遇加算Ⅰ特定加算なしベア加算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処遇加算Ⅰ</v>
      </c>
      <c r="H49" s="1088"/>
      <c r="I49" s="1088"/>
      <c r="J49" s="1088"/>
      <c r="K49" s="1113"/>
      <c r="L49" s="1277" t="str">
        <f>IFERROR(IF(G9="","",IF(AND(AH61=1,AH62=1,AH63=1),"特定加算Ⅰ",IF(AND(AH61=1,AH62=2,AH63=1),"特定加算Ⅱ",IF(OR(AH61=2,AH62=2,AH63=2),"特定加算なし","")))),"")</f>
        <v>特定加算なし</v>
      </c>
      <c r="M49" s="1278"/>
      <c r="N49" s="1278"/>
      <c r="O49" s="1278"/>
      <c r="P49" s="1279"/>
      <c r="Q49" s="1087" t="str">
        <f>IFERROR(IF(OR(L9="ベア加算",AND(L9="ベア加算なし",AH57=1)),"ベア加算",IF(AH57=2,"ベア加算なし","")),"")</f>
        <v>ベア加算</v>
      </c>
      <c r="R49" s="1088"/>
      <c r="S49" s="1088"/>
      <c r="T49" s="1088"/>
      <c r="U49" s="1089"/>
      <c r="V49" s="1090" t="s">
        <v>10</v>
      </c>
      <c r="W49" s="1091"/>
      <c r="X49" s="1091"/>
      <c r="Y49" s="1091"/>
      <c r="Z49" s="1091"/>
      <c r="AA49" s="956"/>
      <c r="AB49" s="956"/>
      <c r="AC49" s="1097" t="str">
        <f>IFERROR(VLOOKUP(BE48,【参考】数式用2!E6:F23,2,FALSE),"")</f>
        <v>新加算Ⅲ</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f>IFERROR(VLOOKUP(Y5,【参考】数式用!$A$5:$J$37,MATCH(G49,【参考】数式用!$B$4:$J$4,0)+1,0),"")</f>
        <v>4.3999999999999997E-2</v>
      </c>
      <c r="H50" s="1101"/>
      <c r="I50" s="1101"/>
      <c r="J50" s="1101"/>
      <c r="K50" s="1102"/>
      <c r="L50" s="1103">
        <f>IFERROR(VLOOKUP(Y5,【参考】数式用!$A$5:$J$37,MATCH(L49,【参考】数式用!$B$4:$J$4,0)+1,0),"")</f>
        <v>0</v>
      </c>
      <c r="M50" s="1104"/>
      <c r="N50" s="1104"/>
      <c r="O50" s="1104"/>
      <c r="P50" s="1105"/>
      <c r="Q50" s="1106">
        <f>IFERROR(VLOOKUP(Y5,【参考】数式用!$A$5:$J$37,MATCH(Q49,【参考】数式用!$B$4:$J$4,0)+1,0),"")</f>
        <v>1.0999999999999999E-2</v>
      </c>
      <c r="R50" s="1101"/>
      <c r="S50" s="1101"/>
      <c r="T50" s="1101"/>
      <c r="U50" s="1107"/>
      <c r="V50" s="1069">
        <f>SUM(G50,L50,Q50)</f>
        <v>5.4999999999999993E-2</v>
      </c>
      <c r="W50" s="1070"/>
      <c r="X50" s="1070"/>
      <c r="Y50" s="1070"/>
      <c r="Z50" s="1070"/>
      <c r="AA50" s="956"/>
      <c r="AB50" s="956"/>
      <c r="AC50" s="1108">
        <f>IFERROR(VLOOKUP(Y5,【参考】数式用!$A$5:$AB$37,MATCH(AC49,【参考】数式用!$B$4:$AB$4,0)+1,FALSE),"")</f>
        <v>6.699999999999999E-2</v>
      </c>
      <c r="AD50" s="1109"/>
      <c r="AE50" s="1109"/>
      <c r="AF50" s="1109"/>
      <c r="AG50" s="1109"/>
      <c r="AH50" s="1110"/>
      <c r="AS50" s="962" t="s">
        <v>2047</v>
      </c>
      <c r="AT50" s="962"/>
      <c r="AU50" s="962"/>
      <c r="AV50" s="962"/>
      <c r="AW50" s="962" t="s">
        <v>2048</v>
      </c>
      <c r="AX50" s="962"/>
      <c r="AY50" s="962"/>
      <c r="AZ50" s="962"/>
      <c r="BA50" s="962" t="s">
        <v>13</v>
      </c>
      <c r="BB50" s="962"/>
      <c r="BC50" s="962"/>
      <c r="BD50" s="962"/>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f>IFERROR(ROUNDDOWN(ROUND(AM5*G50,0),0)*H53,"")</f>
        <v>268400</v>
      </c>
      <c r="H51" s="1016"/>
      <c r="I51" s="1016"/>
      <c r="J51" s="1016"/>
      <c r="K51" s="55" t="s">
        <v>2117</v>
      </c>
      <c r="L51" s="1013">
        <f>IFERROR(ROUNDDOWN(ROUND(AM5*L50,0),0)*H53,"")</f>
        <v>0</v>
      </c>
      <c r="M51" s="1014"/>
      <c r="N51" s="1014"/>
      <c r="O51" s="1014"/>
      <c r="P51" s="55" t="s">
        <v>2117</v>
      </c>
      <c r="Q51" s="1015">
        <f>IFERROR(ROUNDDOWN(ROUND(AM5*Q50,0),0)*H53,"")</f>
        <v>67100</v>
      </c>
      <c r="R51" s="1016"/>
      <c r="S51" s="1016"/>
      <c r="T51" s="1016"/>
      <c r="U51" s="56" t="s">
        <v>2117</v>
      </c>
      <c r="V51" s="1116">
        <f>IFERROR(SUM(G51,L51,Q51),"")</f>
        <v>335500</v>
      </c>
      <c r="W51" s="1117"/>
      <c r="X51" s="1117"/>
      <c r="Y51" s="1117"/>
      <c r="Z51" s="57" t="s">
        <v>2117</v>
      </c>
      <c r="AB51" s="58"/>
      <c r="AC51" s="1015">
        <f>IFERROR(ROUNDDOWN(ROUND(AM5*AC50,0),0)*AD53,"")</f>
        <v>2043500</v>
      </c>
      <c r="AD51" s="1016"/>
      <c r="AE51" s="1016"/>
      <c r="AF51" s="1016"/>
      <c r="AG51" s="1016"/>
      <c r="AH51" s="56" t="s">
        <v>2117</v>
      </c>
      <c r="AS51" s="967">
        <f>IFERROR(ROUNDDOWN(ROUND(AM5*(G50-B10),0),0)*H53,"")</f>
        <v>158600</v>
      </c>
      <c r="AT51" s="967"/>
      <c r="AU51" s="967"/>
      <c r="AV51" s="967"/>
      <c r="AW51" s="967">
        <f>IFERROR(ROUNDDOWN(ROUND(AM5*(L50-G10),0),0)*H53,"")</f>
        <v>0</v>
      </c>
      <c r="AX51" s="967"/>
      <c r="AY51" s="967"/>
      <c r="AZ51" s="967"/>
      <c r="BA51" s="967">
        <f>IFERROR(ROUNDDOWN(ROUND(AM5*(Q50-L10),0),0)*H53,"")</f>
        <v>0</v>
      </c>
      <c r="BB51" s="967"/>
      <c r="BC51" s="967"/>
      <c r="BD51" s="967"/>
      <c r="BE51" s="967">
        <f>IFERROR(ROUNDDOWN(ROUND(AM5*(AC50-Q10),0),0)*AD53,"")</f>
        <v>1159000</v>
      </c>
      <c r="BF51" s="967"/>
      <c r="BG51" s="967"/>
      <c r="BH51" s="967"/>
      <c r="BI51" s="967">
        <f>SUM(AS51:BH51)</f>
        <v>1317600</v>
      </c>
      <c r="BJ51" s="967"/>
      <c r="BK51" s="967"/>
      <c r="BL51" s="967"/>
      <c r="BM51" s="134"/>
      <c r="BN51" s="967">
        <f>IFERROR(ROUNDDOWN(ROUNDDOWN(ROUND(AM5*(VLOOKUP(Y5,【参考】数式用!$A$5:$AB$37,14,FALSE)),0),0)*AD53*0.5,0),"")</f>
        <v>838750</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(134,200円/月)</v>
      </c>
      <c r="H52" s="1012"/>
      <c r="I52" s="1012"/>
      <c r="J52" s="1012"/>
      <c r="K52" s="1012"/>
      <c r="L52" s="1114" t="str">
        <f>IFERROR("("&amp;TEXT(L51/H53,"#,##0円")&amp;"/月)","")</f>
        <v>(0円/月)</v>
      </c>
      <c r="M52" s="1115"/>
      <c r="N52" s="1115"/>
      <c r="O52" s="1115"/>
      <c r="P52" s="1011"/>
      <c r="Q52" s="1012" t="str">
        <f>IFERROR("("&amp;TEXT(Q51/H53,"#,##0円")&amp;"/月)","")</f>
        <v>(33,550円/月)</v>
      </c>
      <c r="R52" s="1012"/>
      <c r="S52" s="1012"/>
      <c r="T52" s="1012"/>
      <c r="U52" s="1012"/>
      <c r="V52" s="1012" t="str">
        <f>IFERROR("("&amp;TEXT(V51/H53,"#,##0円")&amp;"/月)","")</f>
        <v>(167,750円/月)</v>
      </c>
      <c r="W52" s="1012"/>
      <c r="X52" s="1012"/>
      <c r="Y52" s="1012"/>
      <c r="Z52" s="1012"/>
      <c r="AB52" s="58"/>
      <c r="AC52" s="1114" t="str">
        <f>IFERROR("("&amp;TEXT(AC51/AD53,"#,##0円")&amp;"/月)","")</f>
        <v>(204,350円/月)</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2376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2377</v>
      </c>
      <c r="V57" s="962"/>
      <c r="W57" s="962"/>
      <c r="X57" s="962"/>
      <c r="Y57" s="962"/>
      <c r="Z57" s="530">
        <f>IF(AND(B9&lt;&gt;"処遇加算なし",F15=4),IF(V21="✓",1,IF(V22="✓",2,"")),"")</f>
        <v>1</v>
      </c>
      <c r="AA57" s="138"/>
      <c r="AB57" s="142"/>
      <c r="AC57" s="962" t="s">
        <v>2377</v>
      </c>
      <c r="AD57" s="962"/>
      <c r="AE57" s="962"/>
      <c r="AF57" s="962"/>
      <c r="AG57" s="962"/>
      <c r="AH57" s="530">
        <f>IF(AND(F15&lt;&gt;4,F15&lt;&gt;5),0,IF(AT8="○",1,0))</f>
        <v>0</v>
      </c>
      <c r="AI57" s="145"/>
      <c r="AJ57" s="142"/>
      <c r="AK57" s="962" t="s">
        <v>2377</v>
      </c>
      <c r="AL57" s="962"/>
      <c r="AM57" s="962"/>
      <c r="AN57" s="962"/>
      <c r="AO57" s="962"/>
      <c r="AP57" s="530">
        <f>IF(AT8="○",1,0)</f>
        <v>0</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2378</v>
      </c>
      <c r="V58" s="970"/>
      <c r="W58" s="970"/>
      <c r="X58" s="970"/>
      <c r="Y58" s="970"/>
      <c r="Z58" s="530">
        <f>IF(AND(B9&lt;&gt;"処遇加算なし",F15=4),IF(V24="✓",1,IF(V25="✓",2,IF(V26="✓",3,""))),"")</f>
        <v>2</v>
      </c>
      <c r="AA58" s="138"/>
      <c r="AB58" s="142"/>
      <c r="AC58" s="970" t="s">
        <v>2378</v>
      </c>
      <c r="AD58" s="970"/>
      <c r="AE58" s="970"/>
      <c r="AF58" s="970"/>
      <c r="AG58" s="970"/>
      <c r="AH58" s="530">
        <f>IF(AND(F15&lt;&gt;4,F15&lt;&gt;5),0,IF(AU8="○",1,3))</f>
        <v>1</v>
      </c>
      <c r="AI58" s="145"/>
      <c r="AJ58" s="142"/>
      <c r="AK58" s="970" t="s">
        <v>2378</v>
      </c>
      <c r="AL58" s="970"/>
      <c r="AM58" s="970"/>
      <c r="AN58" s="970"/>
      <c r="AO58" s="970"/>
      <c r="AP58" s="530">
        <f>IF(AU8="○",1,3)</f>
        <v>1</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2379</v>
      </c>
      <c r="V59" s="970"/>
      <c r="W59" s="970"/>
      <c r="X59" s="970"/>
      <c r="Y59" s="970"/>
      <c r="Z59" s="530">
        <f>IF(AND(B9&lt;&gt;"処遇加算なし",F15=4),IF(V28="✓",1,IF(V29="✓",2,IF(V30="✓",3,""))),"")</f>
        <v>2</v>
      </c>
      <c r="AA59" s="138"/>
      <c r="AB59" s="142"/>
      <c r="AC59" s="970" t="s">
        <v>2379</v>
      </c>
      <c r="AD59" s="970"/>
      <c r="AE59" s="970"/>
      <c r="AF59" s="970"/>
      <c r="AG59" s="970"/>
      <c r="AH59" s="530">
        <f>IF(AND(F15&lt;&gt;4,F15&lt;&gt;5),0,IF(AV8="○",1,3))</f>
        <v>1</v>
      </c>
      <c r="AI59" s="145"/>
      <c r="AJ59" s="142"/>
      <c r="AK59" s="970" t="s">
        <v>2379</v>
      </c>
      <c r="AL59" s="970"/>
      <c r="AM59" s="970"/>
      <c r="AN59" s="970"/>
      <c r="AO59" s="970"/>
      <c r="AP59" s="530">
        <f>IF(AV8="○",1,3)</f>
        <v>1</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2380</v>
      </c>
      <c r="V60" s="970"/>
      <c r="W60" s="970"/>
      <c r="X60" s="970"/>
      <c r="Y60" s="970"/>
      <c r="Z60" s="530">
        <f>IF(AND(B9&lt;&gt;"処遇加算なし",F15=4),IF(V32="✓",1,IF(V33="✓",2,"")),"")</f>
        <v>2</v>
      </c>
      <c r="AA60" s="138"/>
      <c r="AB60" s="142"/>
      <c r="AC60" s="970" t="s">
        <v>2380</v>
      </c>
      <c r="AD60" s="970"/>
      <c r="AE60" s="970"/>
      <c r="AF60" s="970"/>
      <c r="AG60" s="970"/>
      <c r="AH60" s="530">
        <f>IF(AND(F15&lt;&gt;4,F15&lt;&gt;5),0,IF(AW8="○",1,3))</f>
        <v>1</v>
      </c>
      <c r="AI60" s="145"/>
      <c r="AJ60" s="142"/>
      <c r="AK60" s="970" t="s">
        <v>2380</v>
      </c>
      <c r="AL60" s="970"/>
      <c r="AM60" s="970"/>
      <c r="AN60" s="970"/>
      <c r="AO60" s="970"/>
      <c r="AP60" s="530">
        <f>IF(AW8="○",1,3)</f>
        <v>1</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2381</v>
      </c>
      <c r="V61" s="970"/>
      <c r="W61" s="970"/>
      <c r="X61" s="970"/>
      <c r="Y61" s="970"/>
      <c r="Z61" s="530">
        <f>IF(AND(B9&lt;&gt;"処遇加算なし",F15=4),IF(V36="✓",1,IF(V37="✓",2,"")),"")</f>
        <v>2</v>
      </c>
      <c r="AA61" s="138"/>
      <c r="AB61" s="142"/>
      <c r="AC61" s="970" t="s">
        <v>2381</v>
      </c>
      <c r="AD61" s="970"/>
      <c r="AE61" s="970"/>
      <c r="AF61" s="970"/>
      <c r="AG61" s="970"/>
      <c r="AH61" s="530">
        <f>IF(AND(F15&lt;&gt;4,F15&lt;&gt;5),0,IF(AX8="○",1,2))</f>
        <v>2</v>
      </c>
      <c r="AI61" s="145"/>
      <c r="AJ61" s="142"/>
      <c r="AK61" s="970" t="s">
        <v>2381</v>
      </c>
      <c r="AL61" s="970"/>
      <c r="AM61" s="970"/>
      <c r="AN61" s="970"/>
      <c r="AO61" s="970"/>
      <c r="AP61" s="530">
        <f>IF(AX8="○",1,2)</f>
        <v>2</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2382</v>
      </c>
      <c r="V62" s="970"/>
      <c r="W62" s="970"/>
      <c r="X62" s="970"/>
      <c r="Y62" s="970"/>
      <c r="Z62" s="530">
        <f>IF(AND(B9&lt;&gt;"処遇加算なし",F15=4),IF(V40="✓",1,IF(V41="✓",2,"")),"")</f>
        <v>2</v>
      </c>
      <c r="AA62" s="138"/>
      <c r="AB62" s="142"/>
      <c r="AC62" s="970" t="s">
        <v>2382</v>
      </c>
      <c r="AD62" s="970"/>
      <c r="AE62" s="970"/>
      <c r="AF62" s="970"/>
      <c r="AG62" s="970"/>
      <c r="AH62" s="530">
        <f>IF(AND(F15&lt;&gt;4,F15&lt;&gt;5),0,IF(AY8="○",1,2))</f>
        <v>2</v>
      </c>
      <c r="AI62" s="145"/>
      <c r="AJ62" s="142"/>
      <c r="AK62" s="970" t="s">
        <v>2382</v>
      </c>
      <c r="AL62" s="970"/>
      <c r="AM62" s="970"/>
      <c r="AN62" s="970"/>
      <c r="AO62" s="970"/>
      <c r="AP62" s="530">
        <f>IF(AY8="○",1,2)</f>
        <v>2</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2383</v>
      </c>
      <c r="V63" s="962"/>
      <c r="W63" s="962"/>
      <c r="X63" s="962"/>
      <c r="Y63" s="962"/>
      <c r="Z63" s="530">
        <f>IF(AND(B9&lt;&gt;"処遇加算なし",F15=4),IF(V44="✓",1,IF(V45="✓",2,"")),"")</f>
        <v>2</v>
      </c>
      <c r="AA63" s="138"/>
      <c r="AB63" s="142"/>
      <c r="AC63" s="962" t="s">
        <v>2383</v>
      </c>
      <c r="AD63" s="962"/>
      <c r="AE63" s="962"/>
      <c r="AF63" s="962"/>
      <c r="AG63" s="962"/>
      <c r="AH63" s="530">
        <f>IF(AND(F15&lt;&gt;4,F15&lt;&gt;5),0,IF(AZ8="○",1,2))</f>
        <v>2</v>
      </c>
      <c r="AI63" s="145"/>
      <c r="AJ63" s="142"/>
      <c r="AK63" s="962" t="s">
        <v>2383</v>
      </c>
      <c r="AL63" s="962"/>
      <c r="AM63" s="962"/>
      <c r="AN63" s="962"/>
      <c r="AO63" s="962"/>
      <c r="AP63" s="530">
        <f>IF(AZ8="○",1,2)</f>
        <v>2</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Dbogpu2nzi6CSJnu3SsaXg0CB2zI9XMMSrqcq40z06G1ZhztqH5FTtvY77TsE4gNyX158uFIxNJPkU8zFenBuQ==" saltValue="YLb4HhuFo4D7a+bAuCSnMA==" spinCount="100000" sheet="1"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3FFA95C-C28C-4336-8540-02EE2C871C81}">
      <formula1>0</formula1>
    </dataValidation>
    <dataValidation type="list" allowBlank="1" showInputMessage="1" showErrorMessage="1" sqref="AL41:AP41" xr:uid="{6E1A8177-8C36-4294-9F5C-C0E99E71866F}">
      <formula1>INDIRECT(BF1)</formula1>
    </dataValidation>
    <dataValidation type="list" allowBlank="1" showInputMessage="1" showErrorMessage="1" sqref="AD41:AH41" xr:uid="{4FFF0984-1C7C-4726-A0A9-59EA7755C6EA}">
      <formula1>INDIRECT(BF1)</formula1>
    </dataValidation>
    <dataValidation type="textLength" operator="equal" allowBlank="1" showInputMessage="1" showErrorMessage="1" error="10桁の介護保険事業所番号を入力してください。_x000a_（桁数が異なるとエラーになります）" sqref="B5:F5" xr:uid="{F013229F-4E96-4EED-B4E3-B683B91D6F55}">
      <formula1>10</formula1>
    </dataValidation>
    <dataValidation type="list" allowBlank="1" showInputMessage="1" showErrorMessage="1" sqref="K15:K16 D15:D16" xr:uid="{5C9B09D3-8D82-4718-999D-E96C85809AA4}">
      <formula1>"6,7"</formula1>
    </dataValidation>
    <dataValidation type="list" allowBlank="1" showInputMessage="1" showErrorMessage="1" sqref="M15:M16" xr:uid="{17A41438-FADC-4D5A-B008-31FA2C271DE6}">
      <formula1>"1,2,3,6,7,8,9,10,11,12"</formula1>
    </dataValidation>
    <dataValidation type="list" allowBlank="1" showInputMessage="1" showErrorMessage="1" sqref="M5:O5" xr:uid="{BD665C7F-6D35-42E6-B651-580B767714A2}">
      <formula1>INDIRECT(J5)</formula1>
    </dataValidation>
    <dataValidation type="list" allowBlank="1" showInputMessage="1" showErrorMessage="1" sqref="Y5:AD5" xr:uid="{BA5A46E1-F467-498B-B2EE-1DA7AF154390}">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DEEEE47-7F2C-4861-94C2-613B803FC90B}">
          <x14:formula1>
            <xm:f>【参考】数式用!$B$4:$E$4</xm:f>
          </x14:formula1>
          <xm:sqref>B9:F9</xm:sqref>
        </x14:dataValidation>
        <x14:dataValidation type="list" allowBlank="1" showInputMessage="1" showErrorMessage="1" xr:uid="{61CFC929-8174-42BC-8605-F2781FE79E38}">
          <x14:formula1>
            <xm:f>【参考】数式用!$F$4:$H$4</xm:f>
          </x14:formula1>
          <xm:sqref>G9</xm:sqref>
        </x14:dataValidation>
        <x14:dataValidation type="list" allowBlank="1" showInputMessage="1" showErrorMessage="1" xr:uid="{E965A181-2AA4-4E8D-A39D-47CBF7BE548E}">
          <x14:formula1>
            <xm:f>【参考】数式用!$I$4:$J$4</xm:f>
          </x14:formula1>
          <xm:sqref>L9</xm:sqref>
        </x14:dataValidation>
        <x14:dataValidation type="list" allowBlank="1" showInputMessage="1" showErrorMessage="1" xr:uid="{B9868901-1AF1-4CEF-A012-C3FB9120ECE0}">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F914B-2147-4202-A4F0-1804C899DBE9}">
  <sheetPr codeName="Sheet4">
    <pageSetUpPr fitToPage="1"/>
  </sheetPr>
  <dimension ref="A1:CJ73"/>
  <sheetViews>
    <sheetView showGridLines="0" view="pageBreakPreview" zoomScaleNormal="53" zoomScaleSheetLayoutView="100" workbookViewId="0">
      <selection sqref="A1:XFD1048576"/>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2326</v>
      </c>
      <c r="O1" s="997"/>
      <c r="P1" s="997"/>
      <c r="Q1" s="997"/>
      <c r="R1" s="997"/>
      <c r="S1" s="997"/>
      <c r="T1" s="997"/>
      <c r="U1" s="997"/>
      <c r="V1" s="997"/>
      <c r="W1" s="997"/>
      <c r="X1" s="997"/>
      <c r="Y1" s="997"/>
      <c r="Z1" s="997"/>
      <c r="AA1" s="997"/>
      <c r="AB1" s="997"/>
      <c r="AC1" s="997"/>
      <c r="AD1" s="997"/>
      <c r="AE1" s="997"/>
      <c r="AF1" s="1127" t="s">
        <v>25</v>
      </c>
      <c r="AG1" s="1127"/>
      <c r="AH1" s="1127"/>
      <c r="AI1" s="1128" t="str">
        <f>IF(G5="","",G5)</f>
        <v>東京都</v>
      </c>
      <c r="AJ1" s="1128"/>
      <c r="AK1" s="1128"/>
      <c r="AL1" s="1128"/>
      <c r="AM1" s="1128"/>
      <c r="AN1" s="1128"/>
      <c r="AO1" s="1128"/>
      <c r="AP1" s="1128"/>
      <c r="AS1" s="958" t="str">
        <f>B9&amp;G9&amp;L9</f>
        <v>処遇加算Ⅲ特定加算なしベア加算なし</v>
      </c>
      <c r="AT1" s="959"/>
      <c r="AU1" s="959"/>
      <c r="AV1" s="959"/>
      <c r="AW1" s="959"/>
      <c r="AX1" s="959"/>
      <c r="AY1" s="959"/>
      <c r="AZ1" s="959"/>
      <c r="BA1" s="959"/>
      <c r="BB1" s="959"/>
      <c r="BC1" s="959"/>
      <c r="BD1" s="959"/>
      <c r="BE1" s="960"/>
      <c r="BF1" s="957" t="str">
        <f>IFERROR(VLOOKUP(Y5,【参考】数式用!$AH$2:$AI$34,2,FALSE),"")</f>
        <v>就労継続支援Ａ型</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535"/>
      <c r="AR2" s="535"/>
      <c r="CE2" s="918" t="s">
        <v>2193</v>
      </c>
      <c r="CF2" s="918"/>
      <c r="CG2" s="918"/>
      <c r="CH2" s="918"/>
      <c r="CI2" s="1132">
        <f>IF(AI1&lt;&gt;"",1,"")</f>
        <v>1</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t="str">
        <f>IF(AND(L9="ベア加算",Q49="ベア加算"),1,"")</f>
        <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f>IF(OR(OR(G49="処遇加算Ⅰ",G49="処遇加算Ⅱ"),OR(AS48="処遇加算Ⅰ",AS48="処遇加算Ⅱ")),1,"")</f>
        <v>1</v>
      </c>
      <c r="CJ4" s="917"/>
    </row>
    <row r="5" spans="1:88" ht="33" customHeight="1">
      <c r="B5" s="1250">
        <v>1334567892</v>
      </c>
      <c r="C5" s="1250"/>
      <c r="D5" s="1250"/>
      <c r="E5" s="1250"/>
      <c r="F5" s="1250"/>
      <c r="G5" s="1251" t="s">
        <v>2355</v>
      </c>
      <c r="H5" s="1251"/>
      <c r="I5" s="1251"/>
      <c r="J5" s="1252" t="s">
        <v>4</v>
      </c>
      <c r="K5" s="1252"/>
      <c r="L5" s="1252"/>
      <c r="M5" s="1253" t="s">
        <v>1182</v>
      </c>
      <c r="N5" s="1253"/>
      <c r="O5" s="1253"/>
      <c r="P5" s="1254" t="s">
        <v>2356</v>
      </c>
      <c r="Q5" s="1255"/>
      <c r="R5" s="1255"/>
      <c r="S5" s="1255"/>
      <c r="T5" s="1255"/>
      <c r="U5" s="1255"/>
      <c r="V5" s="1255"/>
      <c r="W5" s="1255"/>
      <c r="X5" s="1256"/>
      <c r="Y5" s="1257" t="s">
        <v>2257</v>
      </c>
      <c r="Z5" s="1257"/>
      <c r="AA5" s="1257"/>
      <c r="AB5" s="1257"/>
      <c r="AC5" s="1257"/>
      <c r="AD5" s="1257"/>
      <c r="AE5" s="1258">
        <v>4250000</v>
      </c>
      <c r="AF5" s="1259"/>
      <c r="AG5" s="1259"/>
      <c r="AH5" s="1260"/>
      <c r="AI5" s="1258">
        <v>800000</v>
      </c>
      <c r="AJ5" s="1259"/>
      <c r="AK5" s="1259"/>
      <c r="AL5" s="1260"/>
      <c r="AM5" s="926">
        <f>AE5-AI5</f>
        <v>3450000</v>
      </c>
      <c r="AN5" s="927"/>
      <c r="AO5" s="927"/>
      <c r="AP5" s="928"/>
      <c r="AS5" s="80"/>
      <c r="AT5" s="911"/>
      <c r="AU5" s="911"/>
      <c r="AV5" s="911"/>
      <c r="AW5" s="911"/>
      <c r="AX5" s="911"/>
      <c r="AY5" s="911"/>
      <c r="AZ5" s="911"/>
      <c r="BA5" s="81"/>
      <c r="CE5" s="918" t="s">
        <v>2186</v>
      </c>
      <c r="CF5" s="918"/>
      <c r="CG5" s="918"/>
      <c r="CH5" s="918"/>
      <c r="CI5" s="916" t="str">
        <f>IF(OR(G49="処遇加算Ⅰ",AS48="処遇加算Ⅰ"),1,"")</f>
        <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t="str">
        <f>IF(OR(AH61=1,AP61=1),1,"")</f>
        <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新加算Ⅳ</v>
      </c>
      <c r="W8" s="930"/>
      <c r="X8" s="930"/>
      <c r="Y8" s="930"/>
      <c r="Z8" s="931"/>
      <c r="AA8" s="919"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1129" t="str">
        <f>IF(OR(V8="新加算Ⅰ",V8="新加算Ⅱ",V8="新加算Ⅲ",V8="新加算Ⅴ(１)",V8="新加算Ⅴ(３)",V8="新加算Ⅴ(８)"),"○","")</f>
        <v/>
      </c>
      <c r="AX8" s="1129" t="str">
        <f>IF(OR(V8="新加算Ⅰ",V8="新加算Ⅱ",V8="新加算Ⅴ(１)",V8="新加算Ⅴ(２)",V8="新加算Ⅴ(３)",V8="新加算Ⅴ(４)",V8="新加算Ⅴ(５)",V8="新加算Ⅴ(６)",V8="新加算Ⅴ(７)",V8="新加算Ⅴ(９)",V8="新加算Ⅴ(10)",V8="新加算Ⅴ(12)"),"○","")</f>
        <v/>
      </c>
      <c r="AY8" s="1129" t="str">
        <f>IF(OR(V8="新加算Ⅰ",V8="新加算Ⅴ(１)",V8="新加算Ⅴ(２)",V8="新加算Ⅴ(５)",V8="新加算Ⅴ(７)",V8="新加算Ⅴ(10)"),"○","")</f>
        <v/>
      </c>
      <c r="AZ8" s="1129" t="str">
        <f>IF(OR(V8="新加算Ⅰ",V8="新加算Ⅱ",V8="新加算Ⅴ(１)",V8="新加算Ⅴ(２)",V8="新加算Ⅴ(３)",V8="新加算Ⅴ(４)",V8="新加算Ⅴ(５)",V8="新加算Ⅴ(６)",V8="新加算Ⅴ(７)",V8="新加算Ⅴ(９)",V8="新加算Ⅴ(10)",V8="新加算Ⅴ(12)"),"○","")</f>
        <v/>
      </c>
      <c r="BA8" s="81"/>
      <c r="CE8" s="1136" t="s">
        <v>2188</v>
      </c>
      <c r="CF8" s="1136"/>
      <c r="CG8" s="1136"/>
      <c r="CH8" s="1136"/>
      <c r="CI8" s="916" t="str">
        <f>IF(AND(AP62=1,AL41=""),1,"")</f>
        <v/>
      </c>
      <c r="CJ8" s="917"/>
    </row>
    <row r="9" spans="1:88" ht="26.25" customHeight="1">
      <c r="B9" s="1261" t="s">
        <v>232</v>
      </c>
      <c r="C9" s="1262"/>
      <c r="D9" s="1262"/>
      <c r="E9" s="1262"/>
      <c r="F9" s="1263"/>
      <c r="G9" s="1264" t="s">
        <v>11</v>
      </c>
      <c r="H9" s="1265"/>
      <c r="I9" s="1265"/>
      <c r="J9" s="1265"/>
      <c r="K9" s="1266"/>
      <c r="L9" s="1267" t="s">
        <v>9</v>
      </c>
      <c r="M9" s="1268"/>
      <c r="N9" s="1268"/>
      <c r="O9" s="1268"/>
      <c r="P9" s="1269"/>
      <c r="Q9" s="1031" t="s">
        <v>2052</v>
      </c>
      <c r="R9" s="1032"/>
      <c r="S9" s="1032"/>
      <c r="T9" s="945"/>
      <c r="U9" s="946"/>
      <c r="V9" s="932">
        <f>IFERROR(VLOOKUP(Y5,【参考】数式用!$A$5:$AB$37,MATCH(V8,【参考】数式用!$B$4:$AB$4,0)+1,FALSE),"")</f>
        <v>6.3E-2</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t="str">
        <f>IF(OR(AH62=1,AP62=1),1,"")</f>
        <v/>
      </c>
      <c r="CJ9" s="917"/>
    </row>
    <row r="10" spans="1:88" ht="11.25" customHeight="1">
      <c r="B10" s="1057">
        <f>IFERROR(VLOOKUP(Y5,【参考】数式用!$A$5:$J$37,MATCH(B9,【参考】数式用!$B$4:$J$4,0)+1,0),"")</f>
        <v>2.3E-2</v>
      </c>
      <c r="C10" s="1058"/>
      <c r="D10" s="1058"/>
      <c r="E10" s="1058"/>
      <c r="F10" s="1059"/>
      <c r="G10" s="1057">
        <f>IFERROR(VLOOKUP(Y5,【参考】数式用!$A$5:$J$37,MATCH(G9,【参考】数式用!$B$4:$J$4,0)+1,0),"")</f>
        <v>0</v>
      </c>
      <c r="H10" s="1058"/>
      <c r="I10" s="1058"/>
      <c r="J10" s="1058"/>
      <c r="K10" s="1059"/>
      <c r="L10" s="1063">
        <f>IFERROR(VLOOKUP(Y5,【参考】数式用!$A$5:$J$37,MATCH(L9,【参考】数式用!$B$4:$J$4,0)+1,0),"")</f>
        <v>0</v>
      </c>
      <c r="M10" s="1064"/>
      <c r="N10" s="1064"/>
      <c r="O10" s="1064"/>
      <c r="P10" s="1065"/>
      <c r="Q10" s="1069">
        <f>SUM(B10,G10,L10)</f>
        <v>2.3E-2</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0</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新加算Ⅴ(11)</v>
      </c>
      <c r="W11" s="999"/>
      <c r="X11" s="999"/>
      <c r="Y11" s="999"/>
      <c r="Z11" s="999"/>
      <c r="AA11" s="919"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1129" t="str">
        <f>IF(OR(V11="新加算Ⅰ",V11="新加算Ⅱ",V11="新加算Ⅲ",V11="新加算Ⅴ(１)",V11="新加算Ⅴ(３)",V11="新加算Ⅴ(８)"),"○","")</f>
        <v/>
      </c>
      <c r="AX11" s="1129" t="str">
        <f>IF(OR(V11="新加算Ⅰ",V11="新加算Ⅱ",V11="新加算Ⅴ(１)",V11="新加算Ⅴ(２)",V11="新加算Ⅴ(３)",V11="新加算Ⅴ(４)",V11="新加算Ⅴ(５)",V11="新加算Ⅴ(６)",V11="新加算Ⅴ(７)",V11="新加算Ⅴ(９)",V11="新加算Ⅴ(10)",V11="新加算Ⅴ(12)"),"○","")</f>
        <v/>
      </c>
      <c r="AY11" s="1129" t="str">
        <f>IF(OR(V11="新加算Ⅰ",V11="新加算Ⅴ(１)",V11="新加算Ⅴ(２)",V11="新加算Ⅴ(５)",V11="新加算Ⅴ(７)",V11="新加算Ⅴ(10)"),"○","")</f>
        <v/>
      </c>
      <c r="AZ11" s="1129" t="str">
        <f>IF(OR(V11="新加算Ⅰ",V11="新加算Ⅱ",V11="新加算Ⅴ(１)",V11="新加算Ⅴ(２)",V11="新加算Ⅴ(３)",V11="新加算Ⅴ(４)",V11="新加算Ⅴ(５)",V11="新加算Ⅴ(６)",V11="新加算Ⅴ(７)",V11="新加算Ⅴ(９)",V11="新加算Ⅴ(10)",V11="新加算Ⅴ(12)"),"○","")</f>
        <v/>
      </c>
      <c r="BA11" s="97"/>
    </row>
    <row r="12" spans="1:88" ht="28.5" customHeight="1" thickBot="1">
      <c r="A12" s="75"/>
      <c r="B12" s="1026"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026"/>
      <c r="D12" s="1026"/>
      <c r="E12" s="1026"/>
      <c r="F12" s="1026"/>
      <c r="G12" s="1026"/>
      <c r="H12" s="1026"/>
      <c r="I12" s="1026"/>
      <c r="J12" s="1026"/>
      <c r="K12" s="1026"/>
      <c r="L12" s="1026"/>
      <c r="M12" s="1026"/>
      <c r="N12" s="1026"/>
      <c r="O12" s="1026"/>
      <c r="P12" s="1026"/>
      <c r="Q12" s="1026"/>
      <c r="R12" s="1026"/>
      <c r="S12" s="1026"/>
      <c r="T12" s="956"/>
      <c r="U12" s="946"/>
      <c r="V12" s="1137">
        <f>IFERROR(VLOOKUP(Y5,【参考】数式用!$A$5:$AB$37,MATCH(V11,【参考】数式用!$B$4:$AB$4,0)+1,FALSE),"")</f>
        <v>0.05</v>
      </c>
      <c r="W12" s="1137"/>
      <c r="X12" s="1137"/>
      <c r="Y12" s="1137"/>
      <c r="Z12" s="1137"/>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531"/>
      <c r="V14" s="999" t="str">
        <f>IFERROR(IF(VLOOKUP(AS1,【参考】数式用2!E6:L23,7,FALSE)="","",VLOOKUP(AS1,【参考】数式用2!E6:L23,7,FALSE)),"")</f>
        <v>新加算Ⅴ(14)</v>
      </c>
      <c r="W14" s="999"/>
      <c r="X14" s="999"/>
      <c r="Y14" s="999"/>
      <c r="Z14" s="999"/>
      <c r="AA14" s="948"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1270">
        <v>6</v>
      </c>
      <c r="E15" s="534" t="s">
        <v>2111</v>
      </c>
      <c r="F15" s="1270">
        <v>4</v>
      </c>
      <c r="G15" s="534" t="s">
        <v>2112</v>
      </c>
      <c r="H15" s="983" t="s">
        <v>2113</v>
      </c>
      <c r="I15" s="983"/>
      <c r="J15" s="996"/>
      <c r="K15" s="1270">
        <v>7</v>
      </c>
      <c r="L15" s="534" t="s">
        <v>2111</v>
      </c>
      <c r="M15" s="1270">
        <v>3</v>
      </c>
      <c r="N15" s="534" t="s">
        <v>2112</v>
      </c>
      <c r="O15" s="534" t="s">
        <v>2114</v>
      </c>
      <c r="P15" s="99">
        <f>(K15*12+M15)-(D15*12+F15)+1</f>
        <v>12</v>
      </c>
      <c r="Q15" s="983" t="s">
        <v>2115</v>
      </c>
      <c r="R15" s="983"/>
      <c r="S15" s="100" t="s">
        <v>69</v>
      </c>
      <c r="U15" s="531"/>
      <c r="V15" s="984">
        <f>IFERROR(VLOOKUP(Y5,【参考】数式用!$A$5:$AB$37,MATCH(V14,【参考】数式用!$B$4:$AB$4,0)+1,FALSE),"")</f>
        <v>3.2000000000000001E-2</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531"/>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532"/>
      <c r="U17" s="532"/>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！R7年度以降、いずれの区分でも必要になる上、R6.4時点でのベア加算の算定がR6.2-5の交付金の要件となるため、早期の対応を推奨。</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533" t="str">
        <f>IFERROR(IF(L9="ベア加算","✓",""),"")</f>
        <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533" t="str">
        <f>IFERROR(IF(OR(B9="処遇加算Ⅰ",B9="処遇加算Ⅱ"),"✓",""),"")</f>
        <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533" t="str">
        <f>IFERROR(IF(B9="処遇加算Ⅲ","✓",""),"")</f>
        <v>✓</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533"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533" t="str">
        <f>IFERROR(IF(OR(B9="処遇加算Ⅰ",B9="処遇加算Ⅱ"),"✓",""),"")</f>
        <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533" t="str">
        <f>IFERROR(IF(B9="処遇加算Ⅲ","✓",""),"")</f>
        <v>✓</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533"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533" t="str">
        <f>IFERROR(IF(B9="処遇加算Ⅰ","✓",""),"")</f>
        <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533" t="str">
        <f>IFERROR(IF(AND(B9&lt;&gt;"",B9&lt;&gt;"処遇加算Ⅰ"),"✓",""),"")</f>
        <v>✓</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533" t="str">
        <f>IFERROR(IF(OR(G9="特定加算Ⅰ",G9="特定加算Ⅱ"),"✓",""),"")</f>
        <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533" t="str">
        <f>IFERROR(IF(G9="特定加算なし","✓",""),"")</f>
        <v>✓</v>
      </c>
      <c r="W37" s="977" t="s">
        <v>15</v>
      </c>
      <c r="X37" s="978"/>
      <c r="Y37" s="978"/>
      <c r="Z37" s="979"/>
      <c r="AA37" s="945"/>
      <c r="AB37" s="946"/>
      <c r="AC37" s="971" t="s">
        <v>2176</v>
      </c>
      <c r="AD37" s="972"/>
      <c r="AE37" s="972"/>
      <c r="AF37" s="972"/>
      <c r="AG37" s="1271"/>
      <c r="AH37" s="1272"/>
      <c r="AI37" s="945"/>
      <c r="AJ37" s="946"/>
      <c r="AK37" s="971" t="s">
        <v>2176</v>
      </c>
      <c r="AL37" s="972"/>
      <c r="AM37" s="972"/>
      <c r="AN37" s="972"/>
      <c r="AO37" s="1271"/>
      <c r="AP37" s="1272"/>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福祉専門職員配置等加算を算定する。</v>
      </c>
      <c r="H40" s="1001"/>
      <c r="I40" s="1001"/>
      <c r="J40" s="1001"/>
      <c r="K40" s="1001"/>
      <c r="L40" s="1001"/>
      <c r="M40" s="1001"/>
      <c r="N40" s="1001"/>
      <c r="O40" s="1001"/>
      <c r="P40" s="1001"/>
      <c r="Q40" s="1001"/>
      <c r="R40" s="1001"/>
      <c r="S40" s="1001"/>
      <c r="T40" s="1002"/>
      <c r="U40" s="89"/>
      <c r="V40" s="533" t="str">
        <f>IFERROR(IF(G9="特定加算Ⅰ","✓",""),"")</f>
        <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533" t="str">
        <f>IFERROR(IF(OR(G9="特定加算Ⅱ",G9="特定加算なし"),"✓",""),"")</f>
        <v>✓</v>
      </c>
      <c r="W41" s="977" t="s">
        <v>15</v>
      </c>
      <c r="X41" s="978"/>
      <c r="Y41" s="978"/>
      <c r="Z41" s="979"/>
      <c r="AA41" s="945"/>
      <c r="AB41" s="946"/>
      <c r="AC41" s="127" t="s">
        <v>83</v>
      </c>
      <c r="AD41" s="1273"/>
      <c r="AE41" s="1274"/>
      <c r="AF41" s="1274"/>
      <c r="AG41" s="1274"/>
      <c r="AH41" s="1275"/>
      <c r="AI41" s="945"/>
      <c r="AJ41" s="946"/>
      <c r="AK41" s="127" t="s">
        <v>83</v>
      </c>
      <c r="AL41" s="1273"/>
      <c r="AM41" s="1274"/>
      <c r="AN41" s="1274"/>
      <c r="AO41" s="1274"/>
      <c r="AP41" s="1275"/>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532"/>
      <c r="AB42" s="532"/>
      <c r="AC42" s="129"/>
      <c r="AD42" s="955" t="s">
        <v>15</v>
      </c>
      <c r="AE42" s="955"/>
      <c r="AF42" s="955"/>
      <c r="AG42" s="955"/>
      <c r="AH42" s="955"/>
      <c r="AI42" s="532"/>
      <c r="AJ42" s="532"/>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2375</v>
      </c>
      <c r="H44" s="1001"/>
      <c r="I44" s="1001"/>
      <c r="J44" s="1001"/>
      <c r="K44" s="1001"/>
      <c r="L44" s="1001"/>
      <c r="M44" s="1001"/>
      <c r="N44" s="1001"/>
      <c r="O44" s="1001"/>
      <c r="P44" s="1001"/>
      <c r="Q44" s="1001"/>
      <c r="R44" s="1001"/>
      <c r="S44" s="1001"/>
      <c r="T44" s="1002"/>
      <c r="U44" s="112"/>
      <c r="V44" s="533" t="str">
        <f>IFERROR(IF(OR(G9="特定加算Ⅰ",G9="特定加算Ⅱ"),"✓",""),"")</f>
        <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533" t="str">
        <f>IFERROR(IF(G9="特定加算なし","✓",""),"")</f>
        <v>✓</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処遇加算Ⅱ</v>
      </c>
      <c r="AT48" s="964"/>
      <c r="AU48" s="964"/>
      <c r="AV48" s="964"/>
      <c r="AW48" s="1276" t="str">
        <f>IFERROR(IF(AND(AP61=1,AP62=1,AP63=1),"特定加算Ⅰ",IF(AND(AP61=1,AP62=2,AP63=1),"特定加算Ⅱ",IF(OR(AP61=2,AP62=2,AP63=2),"特定加算なし",""))),"")</f>
        <v>特定加算なし</v>
      </c>
      <c r="AX48" s="1276"/>
      <c r="AY48" s="1276"/>
      <c r="AZ48" s="1276"/>
      <c r="BA48" s="964" t="str">
        <f>IFERROR(IF(OR(L9="ベア加算",AP57=1),"ベア加算",IF(AP57=2,"ベア加算なし","")),"")</f>
        <v>ベア加算</v>
      </c>
      <c r="BB48" s="964"/>
      <c r="BC48" s="964"/>
      <c r="BD48" s="964"/>
      <c r="BE48" s="966" t="str">
        <f>AS48&amp;AW48&amp;BA48</f>
        <v>処遇加算Ⅱ特定加算なしベア加算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処遇加算Ⅱ</v>
      </c>
      <c r="H49" s="1088"/>
      <c r="I49" s="1088"/>
      <c r="J49" s="1088"/>
      <c r="K49" s="1113"/>
      <c r="L49" s="1277" t="str">
        <f>IFERROR(IF(G9="","",IF(AND(AH61=1,AH62=1,AH63=1),"特定加算Ⅰ",IF(AND(AH61=1,AH62=2,AH63=1),"特定加算Ⅱ",IF(OR(AH61=2,AH62=2,AH63=2),"特定加算なし","")))),"")</f>
        <v>特定加算なし</v>
      </c>
      <c r="M49" s="1278"/>
      <c r="N49" s="1278"/>
      <c r="O49" s="1278"/>
      <c r="P49" s="1279"/>
      <c r="Q49" s="1087" t="str">
        <f>IFERROR(IF(OR(L9="ベア加算",AND(L9="ベア加算なし",AH57=1)),"ベア加算",IF(AH57=2,"ベア加算なし","")),"")</f>
        <v>ベア加算</v>
      </c>
      <c r="R49" s="1088"/>
      <c r="S49" s="1088"/>
      <c r="T49" s="1088"/>
      <c r="U49" s="1089"/>
      <c r="V49" s="1090" t="s">
        <v>10</v>
      </c>
      <c r="W49" s="1091"/>
      <c r="X49" s="1091"/>
      <c r="Y49" s="1091"/>
      <c r="Z49" s="1091"/>
      <c r="AA49" s="956"/>
      <c r="AB49" s="956"/>
      <c r="AC49" s="1097" t="str">
        <f>IFERROR(VLOOKUP(BE48,【参考】数式用2!E6:F23,2,FALSE),"")</f>
        <v>新加算Ⅳ</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f>IFERROR(VLOOKUP(Y5,【参考】数式用!$A$5:$J$37,MATCH(G49,【参考】数式用!$B$4:$J$4,0)+1,0),"")</f>
        <v>4.1000000000000002E-2</v>
      </c>
      <c r="H50" s="1101"/>
      <c r="I50" s="1101"/>
      <c r="J50" s="1101"/>
      <c r="K50" s="1102"/>
      <c r="L50" s="1103">
        <f>IFERROR(VLOOKUP(Y5,【参考】数式用!$A$5:$J$37,MATCH(L49,【参考】数式用!$B$4:$J$4,0)+1,0),"")</f>
        <v>0</v>
      </c>
      <c r="M50" s="1104"/>
      <c r="N50" s="1104"/>
      <c r="O50" s="1104"/>
      <c r="P50" s="1105"/>
      <c r="Q50" s="1106">
        <f>IFERROR(VLOOKUP(Y5,【参考】数式用!$A$5:$J$37,MATCH(Q49,【参考】数式用!$B$4:$J$4,0)+1,0),"")</f>
        <v>1.2999999999999999E-2</v>
      </c>
      <c r="R50" s="1101"/>
      <c r="S50" s="1101"/>
      <c r="T50" s="1101"/>
      <c r="U50" s="1107"/>
      <c r="V50" s="1069">
        <f>SUM(G50,L50,Q50)</f>
        <v>5.3999999999999999E-2</v>
      </c>
      <c r="W50" s="1070"/>
      <c r="X50" s="1070"/>
      <c r="Y50" s="1070"/>
      <c r="Z50" s="1070"/>
      <c r="AA50" s="956"/>
      <c r="AB50" s="956"/>
      <c r="AC50" s="1108">
        <f>IFERROR(VLOOKUP(Y5,【参考】数式用!$A$5:$AB$37,MATCH(AC49,【参考】数式用!$B$4:$AB$4,0)+1,FALSE),"")</f>
        <v>6.3E-2</v>
      </c>
      <c r="AD50" s="1109"/>
      <c r="AE50" s="1109"/>
      <c r="AF50" s="1109"/>
      <c r="AG50" s="1109"/>
      <c r="AH50" s="1110"/>
      <c r="AS50" s="962" t="s">
        <v>2047</v>
      </c>
      <c r="AT50" s="962"/>
      <c r="AU50" s="962"/>
      <c r="AV50" s="962"/>
      <c r="AW50" s="962" t="s">
        <v>2048</v>
      </c>
      <c r="AX50" s="962"/>
      <c r="AY50" s="962"/>
      <c r="AZ50" s="962"/>
      <c r="BA50" s="962" t="s">
        <v>13</v>
      </c>
      <c r="BB50" s="962"/>
      <c r="BC50" s="962"/>
      <c r="BD50" s="962"/>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f>IFERROR(ROUNDDOWN(ROUND(AM5*G50,0),0)*H53,"")</f>
        <v>282900</v>
      </c>
      <c r="H51" s="1016"/>
      <c r="I51" s="1016"/>
      <c r="J51" s="1016"/>
      <c r="K51" s="55" t="s">
        <v>2117</v>
      </c>
      <c r="L51" s="1013">
        <f>IFERROR(ROUNDDOWN(ROUND(AM5*L50,0),0)*H53,"")</f>
        <v>0</v>
      </c>
      <c r="M51" s="1014"/>
      <c r="N51" s="1014"/>
      <c r="O51" s="1014"/>
      <c r="P51" s="55" t="s">
        <v>2117</v>
      </c>
      <c r="Q51" s="1015">
        <f>IFERROR(ROUNDDOWN(ROUND(AM5*Q50,0),0)*H53,"")</f>
        <v>89700</v>
      </c>
      <c r="R51" s="1016"/>
      <c r="S51" s="1016"/>
      <c r="T51" s="1016"/>
      <c r="U51" s="56" t="s">
        <v>2117</v>
      </c>
      <c r="V51" s="1116">
        <f>IFERROR(SUM(G51,L51,Q51),"")</f>
        <v>372600</v>
      </c>
      <c r="W51" s="1117"/>
      <c r="X51" s="1117"/>
      <c r="Y51" s="1117"/>
      <c r="Z51" s="57" t="s">
        <v>2117</v>
      </c>
      <c r="AB51" s="58"/>
      <c r="AC51" s="1015">
        <f>IFERROR(ROUNDDOWN(ROUND(AM5*AC50,0),0)*AD53,"")</f>
        <v>2173500</v>
      </c>
      <c r="AD51" s="1016"/>
      <c r="AE51" s="1016"/>
      <c r="AF51" s="1016"/>
      <c r="AG51" s="1016"/>
      <c r="AH51" s="56" t="s">
        <v>2117</v>
      </c>
      <c r="AS51" s="967">
        <f>IFERROR(ROUNDDOWN(ROUND(AM5*(G50-B10),0),0)*H53,"")</f>
        <v>124200</v>
      </c>
      <c r="AT51" s="967"/>
      <c r="AU51" s="967"/>
      <c r="AV51" s="967"/>
      <c r="AW51" s="967">
        <f>IFERROR(ROUNDDOWN(ROUND(AM5*(L50-G10),0),0)*H53,"")</f>
        <v>0</v>
      </c>
      <c r="AX51" s="967"/>
      <c r="AY51" s="967"/>
      <c r="AZ51" s="967"/>
      <c r="BA51" s="967">
        <f>IFERROR(ROUNDDOWN(ROUND(AM5*(Q50-L10),0),0)*H53,"")</f>
        <v>89700</v>
      </c>
      <c r="BB51" s="967"/>
      <c r="BC51" s="967"/>
      <c r="BD51" s="967"/>
      <c r="BE51" s="967">
        <f>IFERROR(ROUNDDOWN(ROUND(AM5*(AC50-Q10),0),0)*AD53,"")</f>
        <v>1380000</v>
      </c>
      <c r="BF51" s="967"/>
      <c r="BG51" s="967"/>
      <c r="BH51" s="967"/>
      <c r="BI51" s="967">
        <f>SUM(AS51:BH51)</f>
        <v>1593900</v>
      </c>
      <c r="BJ51" s="967"/>
      <c r="BK51" s="967"/>
      <c r="BL51" s="967"/>
      <c r="BM51" s="134"/>
      <c r="BN51" s="967">
        <f>IFERROR(ROUNDDOWN(ROUNDDOWN(ROUND(AM5*(VLOOKUP(Y5,【参考】数式用!$A$5:$AB$37,14,FALSE)),0),0)*AD53*0.5,0),"")</f>
        <v>1086750</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(141,450円/月)</v>
      </c>
      <c r="H52" s="1012"/>
      <c r="I52" s="1012"/>
      <c r="J52" s="1012"/>
      <c r="K52" s="1012"/>
      <c r="L52" s="1114" t="str">
        <f>IFERROR("("&amp;TEXT(L51/H53,"#,##0円")&amp;"/月)","")</f>
        <v>(0円/月)</v>
      </c>
      <c r="M52" s="1115"/>
      <c r="N52" s="1115"/>
      <c r="O52" s="1115"/>
      <c r="P52" s="1011"/>
      <c r="Q52" s="1012" t="str">
        <f>IFERROR("("&amp;TEXT(Q51/H53,"#,##0円")&amp;"/月)","")</f>
        <v>(44,850円/月)</v>
      </c>
      <c r="R52" s="1012"/>
      <c r="S52" s="1012"/>
      <c r="T52" s="1012"/>
      <c r="U52" s="1012"/>
      <c r="V52" s="1012" t="str">
        <f>IFERROR("("&amp;TEXT(V51/H53,"#,##0円")&amp;"/月)","")</f>
        <v>(186,300円/月)</v>
      </c>
      <c r="W52" s="1012"/>
      <c r="X52" s="1012"/>
      <c r="Y52" s="1012"/>
      <c r="Z52" s="1012"/>
      <c r="AB52" s="58"/>
      <c r="AC52" s="1114" t="str">
        <f>IFERROR("("&amp;TEXT(AC51/AD53,"#,##0円")&amp;"/月)","")</f>
        <v>(217,350円/月)</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2376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2377</v>
      </c>
      <c r="V57" s="962"/>
      <c r="W57" s="962"/>
      <c r="X57" s="962"/>
      <c r="Y57" s="962"/>
      <c r="Z57" s="530">
        <f>IF(AND(B9&lt;&gt;"処遇加算なし",F15=4),IF(V21="✓",1,IF(V22="✓",2,"")),"")</f>
        <v>2</v>
      </c>
      <c r="AA57" s="138"/>
      <c r="AB57" s="142"/>
      <c r="AC57" s="962" t="s">
        <v>2377</v>
      </c>
      <c r="AD57" s="962"/>
      <c r="AE57" s="962"/>
      <c r="AF57" s="962"/>
      <c r="AG57" s="962"/>
      <c r="AH57" s="530">
        <f>IF(AND(F15&lt;&gt;4,F15&lt;&gt;5),0,IF(AT8="○",1,0))</f>
        <v>1</v>
      </c>
      <c r="AI57" s="145"/>
      <c r="AJ57" s="142"/>
      <c r="AK57" s="962" t="s">
        <v>2377</v>
      </c>
      <c r="AL57" s="962"/>
      <c r="AM57" s="962"/>
      <c r="AN57" s="962"/>
      <c r="AO57" s="962"/>
      <c r="AP57" s="530">
        <f>IF(AT8="○",1,0)</f>
        <v>1</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2378</v>
      </c>
      <c r="V58" s="970"/>
      <c r="W58" s="970"/>
      <c r="X58" s="970"/>
      <c r="Y58" s="970"/>
      <c r="Z58" s="530">
        <f>IF(AND(B9&lt;&gt;"処遇加算なし",F15=4),IF(V24="✓",1,IF(V25="✓",2,IF(V26="✓",3,""))),"")</f>
        <v>2</v>
      </c>
      <c r="AA58" s="138"/>
      <c r="AB58" s="142"/>
      <c r="AC58" s="970" t="s">
        <v>2378</v>
      </c>
      <c r="AD58" s="970"/>
      <c r="AE58" s="970"/>
      <c r="AF58" s="970"/>
      <c r="AG58" s="970"/>
      <c r="AH58" s="530">
        <f>IF(AND(F15&lt;&gt;4,F15&lt;&gt;5),0,IF(AU8="○",1,3))</f>
        <v>1</v>
      </c>
      <c r="AI58" s="145"/>
      <c r="AJ58" s="142"/>
      <c r="AK58" s="970" t="s">
        <v>2378</v>
      </c>
      <c r="AL58" s="970"/>
      <c r="AM58" s="970"/>
      <c r="AN58" s="970"/>
      <c r="AO58" s="970"/>
      <c r="AP58" s="530">
        <f>IF(AU8="○",1,3)</f>
        <v>1</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2379</v>
      </c>
      <c r="V59" s="970"/>
      <c r="W59" s="970"/>
      <c r="X59" s="970"/>
      <c r="Y59" s="970"/>
      <c r="Z59" s="530">
        <f>IF(AND(B9&lt;&gt;"処遇加算なし",F15=4),IF(V28="✓",1,IF(V29="✓",2,IF(V30="✓",3,""))),"")</f>
        <v>2</v>
      </c>
      <c r="AA59" s="138"/>
      <c r="AB59" s="142"/>
      <c r="AC59" s="970" t="s">
        <v>2379</v>
      </c>
      <c r="AD59" s="970"/>
      <c r="AE59" s="970"/>
      <c r="AF59" s="970"/>
      <c r="AG59" s="970"/>
      <c r="AH59" s="530">
        <f>IF(AND(F15&lt;&gt;4,F15&lt;&gt;5),0,IF(AV8="○",1,3))</f>
        <v>1</v>
      </c>
      <c r="AI59" s="145"/>
      <c r="AJ59" s="142"/>
      <c r="AK59" s="970" t="s">
        <v>2379</v>
      </c>
      <c r="AL59" s="970"/>
      <c r="AM59" s="970"/>
      <c r="AN59" s="970"/>
      <c r="AO59" s="970"/>
      <c r="AP59" s="530">
        <f>IF(AV8="○",1,3)</f>
        <v>1</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2380</v>
      </c>
      <c r="V60" s="970"/>
      <c r="W60" s="970"/>
      <c r="X60" s="970"/>
      <c r="Y60" s="970"/>
      <c r="Z60" s="530">
        <f>IF(AND(B9&lt;&gt;"処遇加算なし",F15=4),IF(V32="✓",1,IF(V33="✓",2,"")),"")</f>
        <v>2</v>
      </c>
      <c r="AA60" s="138"/>
      <c r="AB60" s="142"/>
      <c r="AC60" s="970" t="s">
        <v>2380</v>
      </c>
      <c r="AD60" s="970"/>
      <c r="AE60" s="970"/>
      <c r="AF60" s="970"/>
      <c r="AG60" s="970"/>
      <c r="AH60" s="530">
        <f>IF(AND(F15&lt;&gt;4,F15&lt;&gt;5),0,IF(AW8="○",1,3))</f>
        <v>3</v>
      </c>
      <c r="AI60" s="145"/>
      <c r="AJ60" s="142"/>
      <c r="AK60" s="970" t="s">
        <v>2380</v>
      </c>
      <c r="AL60" s="970"/>
      <c r="AM60" s="970"/>
      <c r="AN60" s="970"/>
      <c r="AO60" s="970"/>
      <c r="AP60" s="530">
        <f>IF(AW8="○",1,3)</f>
        <v>3</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2381</v>
      </c>
      <c r="V61" s="970"/>
      <c r="W61" s="970"/>
      <c r="X61" s="970"/>
      <c r="Y61" s="970"/>
      <c r="Z61" s="530">
        <f>IF(AND(B9&lt;&gt;"処遇加算なし",F15=4),IF(V36="✓",1,IF(V37="✓",2,"")),"")</f>
        <v>2</v>
      </c>
      <c r="AA61" s="138"/>
      <c r="AB61" s="142"/>
      <c r="AC61" s="970" t="s">
        <v>2381</v>
      </c>
      <c r="AD61" s="970"/>
      <c r="AE61" s="970"/>
      <c r="AF61" s="970"/>
      <c r="AG61" s="970"/>
      <c r="AH61" s="530">
        <f>IF(AND(F15&lt;&gt;4,F15&lt;&gt;5),0,IF(AX8="○",1,2))</f>
        <v>2</v>
      </c>
      <c r="AI61" s="145"/>
      <c r="AJ61" s="142"/>
      <c r="AK61" s="970" t="s">
        <v>2381</v>
      </c>
      <c r="AL61" s="970"/>
      <c r="AM61" s="970"/>
      <c r="AN61" s="970"/>
      <c r="AO61" s="970"/>
      <c r="AP61" s="530">
        <f>IF(AX8="○",1,2)</f>
        <v>2</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2382</v>
      </c>
      <c r="V62" s="970"/>
      <c r="W62" s="970"/>
      <c r="X62" s="970"/>
      <c r="Y62" s="970"/>
      <c r="Z62" s="530">
        <f>IF(AND(B9&lt;&gt;"処遇加算なし",F15=4),IF(V40="✓",1,IF(V41="✓",2,"")),"")</f>
        <v>2</v>
      </c>
      <c r="AA62" s="138"/>
      <c r="AB62" s="142"/>
      <c r="AC62" s="970" t="s">
        <v>2382</v>
      </c>
      <c r="AD62" s="970"/>
      <c r="AE62" s="970"/>
      <c r="AF62" s="970"/>
      <c r="AG62" s="970"/>
      <c r="AH62" s="530">
        <f>IF(AND(F15&lt;&gt;4,F15&lt;&gt;5),0,IF(AY8="○",1,2))</f>
        <v>2</v>
      </c>
      <c r="AI62" s="145"/>
      <c r="AJ62" s="142"/>
      <c r="AK62" s="970" t="s">
        <v>2382</v>
      </c>
      <c r="AL62" s="970"/>
      <c r="AM62" s="970"/>
      <c r="AN62" s="970"/>
      <c r="AO62" s="970"/>
      <c r="AP62" s="530">
        <f>IF(AY8="○",1,2)</f>
        <v>2</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2383</v>
      </c>
      <c r="V63" s="962"/>
      <c r="W63" s="962"/>
      <c r="X63" s="962"/>
      <c r="Y63" s="962"/>
      <c r="Z63" s="530">
        <f>IF(AND(B9&lt;&gt;"処遇加算なし",F15=4),IF(V44="✓",1,IF(V45="✓",2,"")),"")</f>
        <v>2</v>
      </c>
      <c r="AA63" s="138"/>
      <c r="AB63" s="142"/>
      <c r="AC63" s="962" t="s">
        <v>2383</v>
      </c>
      <c r="AD63" s="962"/>
      <c r="AE63" s="962"/>
      <c r="AF63" s="962"/>
      <c r="AG63" s="962"/>
      <c r="AH63" s="530">
        <f>IF(AND(F15&lt;&gt;4,F15&lt;&gt;5),0,IF(AZ8="○",1,2))</f>
        <v>2</v>
      </c>
      <c r="AI63" s="145"/>
      <c r="AJ63" s="142"/>
      <c r="AK63" s="962" t="s">
        <v>2383</v>
      </c>
      <c r="AL63" s="962"/>
      <c r="AM63" s="962"/>
      <c r="AN63" s="962"/>
      <c r="AO63" s="962"/>
      <c r="AP63" s="530">
        <f>IF(AZ8="○",1,2)</f>
        <v>2</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q2ABFZYBcXSuNvz8WA3o+KfWctFVEtF57DG8ZTW9SBxt98IktthCPyqoKipPc9hoEPwtsxLGuk89q6cNl1gJRQ==" saltValue="1Sg9f3h73DX4DaXPeDmi2A==" spinCount="100000" sheet="1"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CB1134E5-629F-49D4-8423-AF2716F4419C}">
      <formula1>サービス名</formula1>
    </dataValidation>
    <dataValidation type="list" allowBlank="1" showInputMessage="1" showErrorMessage="1" sqref="M5:O5" xr:uid="{2BE9980A-091A-4815-AC6E-F6BC532462D3}">
      <formula1>INDIRECT(J5)</formula1>
    </dataValidation>
    <dataValidation type="list" allowBlank="1" showInputMessage="1" showErrorMessage="1" sqref="M15:M16" xr:uid="{C2ACEB4A-E0AA-4B08-84AA-E168AC297EC4}">
      <formula1>"1,2,3,6,7,8,9,10,11,12"</formula1>
    </dataValidation>
    <dataValidation type="list" allowBlank="1" showInputMessage="1" showErrorMessage="1" sqref="K15:K16 D15:D16" xr:uid="{13A3A7E5-854E-408B-9979-CC16990BC34E}">
      <formula1>"6,7"</formula1>
    </dataValidation>
    <dataValidation type="textLength" operator="equal" allowBlank="1" showInputMessage="1" showErrorMessage="1" error="10桁の介護保険事業所番号を入力してください。_x000a_（桁数が異なるとエラーになります）" sqref="B5:F5" xr:uid="{2787A9E6-48CE-490A-8F45-950042E4E95B}">
      <formula1>10</formula1>
    </dataValidation>
    <dataValidation type="list" allowBlank="1" showInputMessage="1" showErrorMessage="1" sqref="AD41:AH41" xr:uid="{60911A57-4696-48F1-9AA8-8E951A21898D}">
      <formula1>INDIRECT(BF1)</formula1>
    </dataValidation>
    <dataValidation type="list" allowBlank="1" showInputMessage="1" showErrorMessage="1" sqref="AL41:AP41" xr:uid="{1D91BC4C-B41D-4263-9145-6008C464792A}">
      <formula1>INDIRECT(BF1)</formula1>
    </dataValidation>
    <dataValidation type="whole" operator="greaterThanOrEqual" allowBlank="1" showInputMessage="1" showErrorMessage="1" prompt="要件を満たす職員数を記入してください。" sqref="AG37:AH37 AO37:AP37" xr:uid="{1C03309E-2DAD-4D16-B790-BBAFE93466C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58F0E22-D55B-42A6-88D0-D732D0C37AF7}">
          <x14:formula1>
            <xm:f>【参考】数式用3!$A$3:$A$49</xm:f>
          </x14:formula1>
          <xm:sqref>J5:L5</xm:sqref>
        </x14:dataValidation>
        <x14:dataValidation type="list" allowBlank="1" showInputMessage="1" showErrorMessage="1" xr:uid="{7E03F5AA-056D-4E18-B9B1-843BA071EE05}">
          <x14:formula1>
            <xm:f>【参考】数式用!$I$4:$J$4</xm:f>
          </x14:formula1>
          <xm:sqref>L9</xm:sqref>
        </x14:dataValidation>
        <x14:dataValidation type="list" allowBlank="1" showInputMessage="1" showErrorMessage="1" xr:uid="{120554CF-DCEB-4D16-8255-B04293FE4C84}">
          <x14:formula1>
            <xm:f>【参考】数式用!$F$4:$H$4</xm:f>
          </x14:formula1>
          <xm:sqref>G9</xm:sqref>
        </x14:dataValidation>
        <x14:dataValidation type="list" allowBlank="1" showInputMessage="1" showErrorMessage="1" xr:uid="{FAE5ED57-50D5-41BB-9F3A-F6422D92EE48}">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A4D3A-53CB-4502-BC83-802959F67CE0}">
  <sheetPr codeName="Sheet5">
    <pageSetUpPr fitToPage="1"/>
  </sheetPr>
  <dimension ref="A1:CJ73"/>
  <sheetViews>
    <sheetView showGridLines="0" view="pageBreakPreview" zoomScaleNormal="53" zoomScaleSheetLayoutView="100" workbookViewId="0">
      <selection activeCell="AA11" sqref="A10:AP12"/>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2327</v>
      </c>
      <c r="O1" s="997"/>
      <c r="P1" s="997"/>
      <c r="Q1" s="997"/>
      <c r="R1" s="997"/>
      <c r="S1" s="997"/>
      <c r="T1" s="997"/>
      <c r="U1" s="997"/>
      <c r="V1" s="997"/>
      <c r="W1" s="997"/>
      <c r="X1" s="997"/>
      <c r="Y1" s="997"/>
      <c r="Z1" s="997"/>
      <c r="AA1" s="997"/>
      <c r="AB1" s="997"/>
      <c r="AC1" s="997"/>
      <c r="AD1" s="997"/>
      <c r="AE1" s="997"/>
      <c r="AF1" s="1127" t="s">
        <v>25</v>
      </c>
      <c r="AG1" s="1127"/>
      <c r="AH1" s="1127"/>
      <c r="AI1" s="1128" t="str">
        <f>IF(G5="","",G5)</f>
        <v/>
      </c>
      <c r="AJ1" s="1128"/>
      <c r="AK1" s="1128"/>
      <c r="AL1" s="1128"/>
      <c r="AM1" s="1128"/>
      <c r="AN1" s="1128"/>
      <c r="AO1" s="1128"/>
      <c r="AP1" s="1128"/>
      <c r="AS1" s="958" t="str">
        <f>B9&amp;G9&amp;L9</f>
        <v/>
      </c>
      <c r="AT1" s="959"/>
      <c r="AU1" s="959"/>
      <c r="AV1" s="959"/>
      <c r="AW1" s="959"/>
      <c r="AX1" s="959"/>
      <c r="AY1" s="959"/>
      <c r="AZ1" s="959"/>
      <c r="BA1" s="959"/>
      <c r="BB1" s="959"/>
      <c r="BC1" s="959"/>
      <c r="BD1" s="959"/>
      <c r="BE1" s="960"/>
      <c r="BF1" s="957" t="str">
        <f>IFERROR(VLOOKUP(Y5,【参考】数式用!$AH$2:$AI$34,2,FALSE),"")</f>
        <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409"/>
      <c r="AR2" s="409"/>
      <c r="CE2" s="918" t="s">
        <v>2193</v>
      </c>
      <c r="CF2" s="918"/>
      <c r="CG2" s="918"/>
      <c r="CH2" s="918"/>
      <c r="CI2" s="1132" t="str">
        <f>IF(AI1&lt;&gt;"",1,"")</f>
        <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t="str">
        <f>IF(AND(L9="ベア加算",Q49="ベア加算"),1,"")</f>
        <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t="str">
        <f>IF(OR(OR(G49="処遇加算Ⅰ",G49="処遇加算Ⅱ"),OR(AS48="処遇加算Ⅰ",AS48="処遇加算Ⅱ")),1,"")</f>
        <v/>
      </c>
      <c r="CJ4" s="917"/>
    </row>
    <row r="5" spans="1:88" ht="33" customHeight="1">
      <c r="B5" s="1027"/>
      <c r="C5" s="1027"/>
      <c r="D5" s="1027"/>
      <c r="E5" s="1027"/>
      <c r="F5" s="1027"/>
      <c r="G5" s="1028"/>
      <c r="H5" s="1028"/>
      <c r="I5" s="1028"/>
      <c r="J5" s="1029"/>
      <c r="K5" s="1029"/>
      <c r="L5" s="1029"/>
      <c r="M5" s="1030"/>
      <c r="N5" s="1030"/>
      <c r="O5" s="1030"/>
      <c r="P5" s="1138"/>
      <c r="Q5" s="1139"/>
      <c r="R5" s="1139"/>
      <c r="S5" s="1139"/>
      <c r="T5" s="1139"/>
      <c r="U5" s="1139"/>
      <c r="V5" s="1139"/>
      <c r="W5" s="1139"/>
      <c r="X5" s="1140"/>
      <c r="Y5" s="1010"/>
      <c r="Z5" s="1010"/>
      <c r="AA5" s="1010"/>
      <c r="AB5" s="1010"/>
      <c r="AC5" s="1010"/>
      <c r="AD5" s="1010"/>
      <c r="AE5" s="923"/>
      <c r="AF5" s="924"/>
      <c r="AG5" s="924"/>
      <c r="AH5" s="925"/>
      <c r="AI5" s="923"/>
      <c r="AJ5" s="924"/>
      <c r="AK5" s="924"/>
      <c r="AL5" s="925"/>
      <c r="AM5" s="926">
        <f>AE5-AI5</f>
        <v>0</v>
      </c>
      <c r="AN5" s="927"/>
      <c r="AO5" s="927"/>
      <c r="AP5" s="928"/>
      <c r="AS5" s="80"/>
      <c r="AT5" s="911"/>
      <c r="AU5" s="911"/>
      <c r="AV5" s="911"/>
      <c r="AW5" s="911"/>
      <c r="AX5" s="911"/>
      <c r="AY5" s="911"/>
      <c r="AZ5" s="911"/>
      <c r="BA5" s="81"/>
      <c r="CE5" s="918" t="s">
        <v>2186</v>
      </c>
      <c r="CF5" s="918"/>
      <c r="CG5" s="918"/>
      <c r="CH5" s="918"/>
      <c r="CI5" s="916" t="str">
        <f>IF(OR(G49="処遇加算Ⅰ",AS48="処遇加算Ⅰ"),1,"")</f>
        <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t="str">
        <f>IF(OR(AH61=1,AP61=1),1,"")</f>
        <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
      </c>
      <c r="W8" s="930"/>
      <c r="X8" s="930"/>
      <c r="Y8" s="930"/>
      <c r="Z8" s="931"/>
      <c r="AA8" s="919" t="str">
        <f>IFERROR(VLOOKUP(AS1,【参考】数式用2!E6:L23,4,FALSE),"")</f>
        <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29" t="str">
        <f>IF(OR(V8="新加算Ⅰ",V8="新加算Ⅱ",V8="新加算Ⅲ",V8="新加算Ⅴ(１)",V8="新加算Ⅴ(３)",V8="新加算Ⅴ(８)"),"○","")</f>
        <v/>
      </c>
      <c r="AX8" s="1129" t="str">
        <f>IF(OR(V8="新加算Ⅰ",V8="新加算Ⅱ",V8="新加算Ⅴ(１)",V8="新加算Ⅴ(２)",V8="新加算Ⅴ(３)",V8="新加算Ⅴ(４)",V8="新加算Ⅴ(５)",V8="新加算Ⅴ(６)",V8="新加算Ⅴ(７)",V8="新加算Ⅴ(９)",V8="新加算Ⅴ(10)",V8="新加算Ⅴ(12)"),"○","")</f>
        <v/>
      </c>
      <c r="AY8" s="1129" t="str">
        <f>IF(OR(V8="新加算Ⅰ",V8="新加算Ⅴ(１)",V8="新加算Ⅴ(２)",V8="新加算Ⅴ(５)",V8="新加算Ⅴ(７)",V8="新加算Ⅴ(10)"),"○","")</f>
        <v/>
      </c>
      <c r="AZ8" s="1129" t="str">
        <f>IF(OR(V8="新加算Ⅰ",V8="新加算Ⅱ",V8="新加算Ⅴ(１)",V8="新加算Ⅴ(２)",V8="新加算Ⅴ(３)",V8="新加算Ⅴ(４)",V8="新加算Ⅴ(５)",V8="新加算Ⅴ(６)",V8="新加算Ⅴ(７)",V8="新加算Ⅴ(９)",V8="新加算Ⅴ(10)",V8="新加算Ⅴ(12)"),"○","")</f>
        <v/>
      </c>
      <c r="BA8" s="81"/>
      <c r="CE8" s="1136" t="s">
        <v>2188</v>
      </c>
      <c r="CF8" s="1136"/>
      <c r="CG8" s="1136"/>
      <c r="CH8" s="1136"/>
      <c r="CI8" s="916" t="str">
        <f>IF(AND(AP62=1,AL41=""),1,"")</f>
        <v/>
      </c>
      <c r="CJ8" s="917"/>
    </row>
    <row r="9" spans="1:88" ht="26.25" customHeight="1">
      <c r="B9" s="1048"/>
      <c r="C9" s="1049"/>
      <c r="D9" s="1049"/>
      <c r="E9" s="1049"/>
      <c r="F9" s="1050"/>
      <c r="G9" s="1051"/>
      <c r="H9" s="1052"/>
      <c r="I9" s="1052"/>
      <c r="J9" s="1052"/>
      <c r="K9" s="1053"/>
      <c r="L9" s="1054"/>
      <c r="M9" s="1055"/>
      <c r="N9" s="1055"/>
      <c r="O9" s="1055"/>
      <c r="P9" s="1056"/>
      <c r="Q9" s="1031" t="s">
        <v>2052</v>
      </c>
      <c r="R9" s="1032"/>
      <c r="S9" s="1032"/>
      <c r="T9" s="945"/>
      <c r="U9" s="946"/>
      <c r="V9" s="932" t="str">
        <f>IFERROR(VLOOKUP(Y5,【参考】数式用!$A$5:$AB$37,MATCH(V8,【参考】数式用!$B$4:$AB$4,0)+1,FALSE),"")</f>
        <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t="str">
        <f>IF(OR(AH62=1,AP62=1),1,"")</f>
        <v/>
      </c>
      <c r="CJ9" s="917"/>
    </row>
    <row r="10" spans="1:88" ht="11.25" customHeight="1">
      <c r="B10" s="1057" t="str">
        <f>IFERROR(VLOOKUP(Y5,【参考】数式用!$A$5:$J$37,MATCH(B9,【参考】数式用!$B$4:$J$4,0)+1,0),"")</f>
        <v/>
      </c>
      <c r="C10" s="1058"/>
      <c r="D10" s="1058"/>
      <c r="E10" s="1058"/>
      <c r="F10" s="1059"/>
      <c r="G10" s="1057" t="str">
        <f>IFERROR(VLOOKUP(Y5,【参考】数式用!$A$5:$J$37,MATCH(G9,【参考】数式用!$B$4:$J$4,0)+1,0),"")</f>
        <v/>
      </c>
      <c r="H10" s="1058"/>
      <c r="I10" s="1058"/>
      <c r="J10" s="1058"/>
      <c r="K10" s="1059"/>
      <c r="L10" s="1063" t="str">
        <f>IFERROR(VLOOKUP(Y5,【参考】数式用!$A$5:$J$37,MATCH(L9,【参考】数式用!$B$4:$J$4,0)+1,0),"")</f>
        <v/>
      </c>
      <c r="M10" s="1064"/>
      <c r="N10" s="1064"/>
      <c r="O10" s="1064"/>
      <c r="P10" s="1065"/>
      <c r="Q10" s="1069">
        <f>SUM(B10,G10,L10)</f>
        <v>0</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0</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
      </c>
      <c r="W11" s="999"/>
      <c r="X11" s="999"/>
      <c r="Y11" s="999"/>
      <c r="Z11" s="999"/>
      <c r="AA11" s="919" t="str">
        <f>IFERROR(VLOOKUP(AS1,【参考】数式用2!E6:L23,6,FALSE),"")</f>
        <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29" t="str">
        <f>IF(OR(V11="新加算Ⅰ",V11="新加算Ⅱ",V11="新加算Ⅲ",V11="新加算Ⅴ(１)",V11="新加算Ⅴ(３)",V11="新加算Ⅴ(８)"),"○","")</f>
        <v/>
      </c>
      <c r="AX11" s="1129" t="str">
        <f>IF(OR(V11="新加算Ⅰ",V11="新加算Ⅱ",V11="新加算Ⅴ(１)",V11="新加算Ⅴ(２)",V11="新加算Ⅴ(３)",V11="新加算Ⅴ(４)",V11="新加算Ⅴ(５)",V11="新加算Ⅴ(６)",V11="新加算Ⅴ(７)",V11="新加算Ⅴ(９)",V11="新加算Ⅴ(10)",V11="新加算Ⅴ(12)"),"○","")</f>
        <v/>
      </c>
      <c r="AY11" s="1129" t="str">
        <f>IF(OR(V11="新加算Ⅰ",V11="新加算Ⅴ(１)",V11="新加算Ⅴ(２)",V11="新加算Ⅴ(５)",V11="新加算Ⅴ(７)",V11="新加算Ⅴ(10)"),"○","")</f>
        <v/>
      </c>
      <c r="AZ11" s="1129" t="str">
        <f>IF(OR(V11="新加算Ⅰ",V11="新加算Ⅱ",V11="新加算Ⅴ(１)",V11="新加算Ⅴ(２)",V11="新加算Ⅴ(３)",V11="新加算Ⅴ(４)",V11="新加算Ⅴ(５)",V11="新加算Ⅴ(６)",V11="新加算Ⅴ(７)",V11="新加算Ⅴ(９)",V11="新加算Ⅴ(10)",V11="新加算Ⅴ(12)"),"○","")</f>
        <v/>
      </c>
      <c r="BA11" s="97"/>
    </row>
    <row r="12" spans="1:88" ht="25.5" customHeight="1" thickBot="1">
      <c r="A12" s="75"/>
      <c r="B12" s="102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26"/>
      <c r="D12" s="1026"/>
      <c r="E12" s="1026"/>
      <c r="F12" s="1026"/>
      <c r="G12" s="1026"/>
      <c r="H12" s="1026"/>
      <c r="I12" s="1026"/>
      <c r="J12" s="1026"/>
      <c r="K12" s="1026"/>
      <c r="L12" s="1026"/>
      <c r="M12" s="1026"/>
      <c r="N12" s="1026"/>
      <c r="O12" s="1026"/>
      <c r="P12" s="1026"/>
      <c r="Q12" s="1026"/>
      <c r="R12" s="1026"/>
      <c r="S12" s="1026"/>
      <c r="T12" s="956"/>
      <c r="U12" s="946"/>
      <c r="V12" s="1137" t="str">
        <f>IFERROR(VLOOKUP(Y5,【参考】数式用!$A$5:$AB$37,MATCH(V11,【参考】数式用!$B$4:$AB$4,0)+1,FALSE),"")</f>
        <v/>
      </c>
      <c r="W12" s="1137"/>
      <c r="X12" s="1137"/>
      <c r="Y12" s="1137"/>
      <c r="Z12" s="1137"/>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405"/>
      <c r="V14" s="999" t="str">
        <f>IFERROR(IF(VLOOKUP(AS1,【参考】数式用2!E6:L23,7,FALSE)="","",VLOOKUP(AS1,【参考】数式用2!E6:L23,7,FALSE)),"")</f>
        <v/>
      </c>
      <c r="W14" s="999"/>
      <c r="X14" s="999"/>
      <c r="Y14" s="999"/>
      <c r="Z14" s="999"/>
      <c r="AA14" s="948" t="str">
        <f>IFERROR(VLOOKUP(AS1,【参考】数式用2!E6:L23,8,FALSE),"")</f>
        <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54">
        <v>6</v>
      </c>
      <c r="E15" s="408" t="s">
        <v>2111</v>
      </c>
      <c r="F15" s="54">
        <v>4</v>
      </c>
      <c r="G15" s="408" t="s">
        <v>2112</v>
      </c>
      <c r="H15" s="983" t="s">
        <v>2113</v>
      </c>
      <c r="I15" s="983"/>
      <c r="J15" s="996"/>
      <c r="K15" s="54">
        <v>7</v>
      </c>
      <c r="L15" s="408" t="s">
        <v>2111</v>
      </c>
      <c r="M15" s="54">
        <v>3</v>
      </c>
      <c r="N15" s="408" t="s">
        <v>2112</v>
      </c>
      <c r="O15" s="408" t="s">
        <v>2114</v>
      </c>
      <c r="P15" s="99">
        <f>(K15*12+M15)-(D15*12+F15)+1</f>
        <v>12</v>
      </c>
      <c r="Q15" s="983" t="s">
        <v>2115</v>
      </c>
      <c r="R15" s="983"/>
      <c r="S15" s="100" t="s">
        <v>69</v>
      </c>
      <c r="U15" s="405"/>
      <c r="V15" s="984" t="str">
        <f>IFERROR(VLOOKUP(Y5,【参考】数式用!$A$5:$AB$37,MATCH(V14,【参考】数式用!$B$4:$AB$4,0)+1,FALSE),"")</f>
        <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405"/>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406"/>
      <c r="U17" s="406"/>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407" t="str">
        <f>IFERROR(IF(L9="ベア加算","✓",""),"")</f>
        <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407" t="str">
        <f>IFERROR(IF(OR(B9="処遇加算Ⅰ",B9="処遇加算Ⅱ"),"✓",""),"")</f>
        <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407" t="str">
        <f>IFERROR(IF(B9="処遇加算Ⅲ","✓",""),"")</f>
        <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407"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407" t="str">
        <f>IFERROR(IF(OR(B9="処遇加算Ⅰ",B9="処遇加算Ⅱ"),"✓",""),"")</f>
        <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407" t="str">
        <f>IFERROR(IF(B9="処遇加算Ⅲ","✓",""),"")</f>
        <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407"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407" t="str">
        <f>IFERROR(IF(B9="処遇加算Ⅰ","✓",""),"")</f>
        <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407" t="str">
        <f>IFERROR(IF(AND(B9&lt;&gt;"",B9&lt;&gt;"処遇加算Ⅰ"),"✓",""),"")</f>
        <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407" t="str">
        <f>IFERROR(IF(OR(G9="特定加算Ⅰ",G9="特定加算Ⅱ"),"✓",""),"")</f>
        <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407" t="str">
        <f>IFERROR(IF(G9="特定加算なし","✓",""),"")</f>
        <v/>
      </c>
      <c r="W37" s="977" t="s">
        <v>15</v>
      </c>
      <c r="X37" s="978"/>
      <c r="Y37" s="978"/>
      <c r="Z37" s="979"/>
      <c r="AA37" s="945"/>
      <c r="AB37" s="946"/>
      <c r="AC37" s="971" t="s">
        <v>2176</v>
      </c>
      <c r="AD37" s="972"/>
      <c r="AE37" s="972"/>
      <c r="AF37" s="972"/>
      <c r="AG37" s="973"/>
      <c r="AH37" s="974"/>
      <c r="AI37" s="945"/>
      <c r="AJ37" s="946"/>
      <c r="AK37" s="971" t="s">
        <v>2176</v>
      </c>
      <c r="AL37" s="972"/>
      <c r="AM37" s="972"/>
      <c r="AN37" s="972"/>
      <c r="AO37" s="973"/>
      <c r="AP37" s="974"/>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c>
      <c r="H40" s="1001"/>
      <c r="I40" s="1001"/>
      <c r="J40" s="1001"/>
      <c r="K40" s="1001"/>
      <c r="L40" s="1001"/>
      <c r="M40" s="1001"/>
      <c r="N40" s="1001"/>
      <c r="O40" s="1001"/>
      <c r="P40" s="1001"/>
      <c r="Q40" s="1001"/>
      <c r="R40" s="1001"/>
      <c r="S40" s="1001"/>
      <c r="T40" s="1002"/>
      <c r="U40" s="89"/>
      <c r="V40" s="407" t="str">
        <f>IFERROR(IF(G9="特定加算Ⅰ","✓",""),"")</f>
        <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407" t="str">
        <f>IFERROR(IF(OR(G9="特定加算Ⅱ",G9="特定加算なし"),"✓",""),"")</f>
        <v/>
      </c>
      <c r="W41" s="977" t="s">
        <v>15</v>
      </c>
      <c r="X41" s="978"/>
      <c r="Y41" s="978"/>
      <c r="Z41" s="979"/>
      <c r="AA41" s="945"/>
      <c r="AB41" s="946"/>
      <c r="AC41" s="127" t="s">
        <v>83</v>
      </c>
      <c r="AD41" s="1084"/>
      <c r="AE41" s="1085"/>
      <c r="AF41" s="1085"/>
      <c r="AG41" s="1085"/>
      <c r="AH41" s="1086"/>
      <c r="AI41" s="945"/>
      <c r="AJ41" s="946"/>
      <c r="AK41" s="127" t="s">
        <v>83</v>
      </c>
      <c r="AL41" s="1084"/>
      <c r="AM41" s="1085"/>
      <c r="AN41" s="1085"/>
      <c r="AO41" s="1085"/>
      <c r="AP41" s="1086"/>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406"/>
      <c r="AB42" s="406"/>
      <c r="AC42" s="129"/>
      <c r="AD42" s="955" t="s">
        <v>15</v>
      </c>
      <c r="AE42" s="955"/>
      <c r="AF42" s="955"/>
      <c r="AG42" s="955"/>
      <c r="AH42" s="955"/>
      <c r="AI42" s="406"/>
      <c r="AJ42" s="406"/>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2375</v>
      </c>
      <c r="H44" s="1001"/>
      <c r="I44" s="1001"/>
      <c r="J44" s="1001"/>
      <c r="K44" s="1001"/>
      <c r="L44" s="1001"/>
      <c r="M44" s="1001"/>
      <c r="N44" s="1001"/>
      <c r="O44" s="1001"/>
      <c r="P44" s="1001"/>
      <c r="Q44" s="1001"/>
      <c r="R44" s="1001"/>
      <c r="S44" s="1001"/>
      <c r="T44" s="1002"/>
      <c r="U44" s="112"/>
      <c r="V44" s="407" t="str">
        <f>IFERROR(IF(OR(G9="特定加算Ⅰ",G9="特定加算Ⅱ"),"✓",""),"")</f>
        <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407" t="str">
        <f>IFERROR(IF(G9="特定加算なし","✓",""),"")</f>
        <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
      </c>
      <c r="AT48" s="964"/>
      <c r="AU48" s="964"/>
      <c r="AV48" s="964"/>
      <c r="AW48" s="965" t="str">
        <f>IFERROR(IF(AND(AP61=1,AP62=1,AP63=1),"特定加算Ⅰ",IF(AND(AP61=1,AP62=2,AP63=1),"特定加算Ⅱ",IF(OR(AP61=2,AP62=2,AP63=2),"特定加算なし",""))),"")</f>
        <v>特定加算なし</v>
      </c>
      <c r="AX48" s="965"/>
      <c r="AY48" s="965"/>
      <c r="AZ48" s="965"/>
      <c r="BA48" s="964" t="str">
        <f>IFERROR(IF(OR(L9="ベア加算",AP57=1),"ベア加算",IF(AP57=2,"ベア加算なし","")),"")</f>
        <v/>
      </c>
      <c r="BB48" s="964"/>
      <c r="BC48" s="964"/>
      <c r="BD48" s="964"/>
      <c r="BE48" s="966" t="str">
        <f>AS48&amp;AW48&amp;BA48</f>
        <v>特定加算なし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
      </c>
      <c r="H49" s="1088"/>
      <c r="I49" s="1088"/>
      <c r="J49" s="1088"/>
      <c r="K49" s="1113"/>
      <c r="L49" s="1118" t="str">
        <f>IFERROR(IF(G9="","",IF(AND(AH61=1,AH62=1,AH63=1),"特定加算Ⅰ",IF(AND(AH61=1,AH62=2,AH63=1),"特定加算Ⅱ",IF(OR(AH61=2,AH62=2,AH63=2),"特定加算なし","")))),"")</f>
        <v/>
      </c>
      <c r="M49" s="1119"/>
      <c r="N49" s="1119"/>
      <c r="O49" s="1119"/>
      <c r="P49" s="1120"/>
      <c r="Q49" s="1087" t="str">
        <f>IFERROR(IF(OR(L9="ベア加算",AND(L9="ベア加算なし",AH57=1)),"ベア加算",IF(AH57=2,"ベア加算なし","")),"")</f>
        <v/>
      </c>
      <c r="R49" s="1088"/>
      <c r="S49" s="1088"/>
      <c r="T49" s="1088"/>
      <c r="U49" s="1089"/>
      <c r="V49" s="1090" t="s">
        <v>10</v>
      </c>
      <c r="W49" s="1091"/>
      <c r="X49" s="1091"/>
      <c r="Y49" s="1091"/>
      <c r="Z49" s="1091"/>
      <c r="AA49" s="956"/>
      <c r="AB49" s="956"/>
      <c r="AC49" s="1097" t="str">
        <f>IFERROR(VLOOKUP(BE48,【参考】数式用2!E6:F23,2,FALSE),"")</f>
        <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t="str">
        <f>IFERROR(VLOOKUP(Y5,【参考】数式用!$A$5:$J$37,MATCH(G49,【参考】数式用!$B$4:$J$4,0)+1,0),"")</f>
        <v/>
      </c>
      <c r="H50" s="1101"/>
      <c r="I50" s="1101"/>
      <c r="J50" s="1101"/>
      <c r="K50" s="1102"/>
      <c r="L50" s="1103" t="str">
        <f>IFERROR(VLOOKUP(Y5,【参考】数式用!$A$5:$J$37,MATCH(L49,【参考】数式用!$B$4:$J$4,0)+1,0),"")</f>
        <v/>
      </c>
      <c r="M50" s="1104"/>
      <c r="N50" s="1104"/>
      <c r="O50" s="1104"/>
      <c r="P50" s="1105"/>
      <c r="Q50" s="1106" t="str">
        <f>IFERROR(VLOOKUP(Y5,【参考】数式用!$A$5:$J$37,MATCH(Q49,【参考】数式用!$B$4:$J$4,0)+1,0),"")</f>
        <v/>
      </c>
      <c r="R50" s="1101"/>
      <c r="S50" s="1101"/>
      <c r="T50" s="1101"/>
      <c r="U50" s="1107"/>
      <c r="V50" s="1069">
        <f>SUM(G50,L50,Q50)</f>
        <v>0</v>
      </c>
      <c r="W50" s="1070"/>
      <c r="X50" s="1070"/>
      <c r="Y50" s="1070"/>
      <c r="Z50" s="1070"/>
      <c r="AA50" s="956"/>
      <c r="AB50" s="956"/>
      <c r="AC50" s="1108" t="str">
        <f>IFERROR(VLOOKUP(Y5,【参考】数式用!$A$5:$AB$37,MATCH(AC49,【参考】数式用!$B$4:$AB$4,0)+1,FALSE),"")</f>
        <v/>
      </c>
      <c r="AD50" s="1109"/>
      <c r="AE50" s="1109"/>
      <c r="AF50" s="1109"/>
      <c r="AG50" s="1109"/>
      <c r="AH50" s="1110"/>
      <c r="AS50" s="962" t="s">
        <v>2047</v>
      </c>
      <c r="AT50" s="962"/>
      <c r="AU50" s="962"/>
      <c r="AV50" s="962"/>
      <c r="AW50" s="962" t="s">
        <v>2048</v>
      </c>
      <c r="AX50" s="962"/>
      <c r="AY50" s="962"/>
      <c r="AZ50" s="962"/>
      <c r="BA50" s="1121" t="s">
        <v>13</v>
      </c>
      <c r="BB50" s="1122"/>
      <c r="BC50" s="1122"/>
      <c r="BD50" s="1123"/>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t="str">
        <f>IFERROR(ROUNDDOWN(ROUND(AM5*G50,0),0)*H53,"")</f>
        <v/>
      </c>
      <c r="H51" s="1016"/>
      <c r="I51" s="1016"/>
      <c r="J51" s="1016"/>
      <c r="K51" s="55" t="s">
        <v>2117</v>
      </c>
      <c r="L51" s="1013" t="str">
        <f>IFERROR(ROUNDDOWN(ROUND(AM5*L50,0),0)*H53,"")</f>
        <v/>
      </c>
      <c r="M51" s="1014"/>
      <c r="N51" s="1014"/>
      <c r="O51" s="1014"/>
      <c r="P51" s="55" t="s">
        <v>2117</v>
      </c>
      <c r="Q51" s="1015" t="str">
        <f>IFERROR(ROUNDDOWN(ROUND(AM5*Q50,0),0)*H53,"")</f>
        <v/>
      </c>
      <c r="R51" s="1016"/>
      <c r="S51" s="1016"/>
      <c r="T51" s="1016"/>
      <c r="U51" s="56" t="s">
        <v>2117</v>
      </c>
      <c r="V51" s="1116">
        <f>IFERROR(SUM(G51,L51,Q51),"")</f>
        <v>0</v>
      </c>
      <c r="W51" s="1117"/>
      <c r="X51" s="1117"/>
      <c r="Y51" s="1117"/>
      <c r="Z51" s="57" t="s">
        <v>2117</v>
      </c>
      <c r="AB51" s="58"/>
      <c r="AC51" s="1015" t="str">
        <f>IFERROR(ROUNDDOWN(ROUND(AM5*AC50,0),0)*AD53,"")</f>
        <v/>
      </c>
      <c r="AD51" s="1016"/>
      <c r="AE51" s="1016"/>
      <c r="AF51" s="1016"/>
      <c r="AG51" s="1016"/>
      <c r="AH51" s="56" t="s">
        <v>2117</v>
      </c>
      <c r="AS51" s="967" t="str">
        <f>IFERROR(ROUNDDOWN(ROUND(AM5*(G50-B10),0),0)*H53,"")</f>
        <v/>
      </c>
      <c r="AT51" s="967"/>
      <c r="AU51" s="967"/>
      <c r="AV51" s="967"/>
      <c r="AW51" s="967" t="str">
        <f>IFERROR(ROUNDDOWN(ROUND(AM5*(L50-G10),0),0)*H53,"")</f>
        <v/>
      </c>
      <c r="AX51" s="967"/>
      <c r="AY51" s="967"/>
      <c r="AZ51" s="967"/>
      <c r="BA51" s="967" t="str">
        <f>IFERROR(ROUNDDOWN(ROUND(AM5*(Q50-L10),0),0)*H53,"")</f>
        <v/>
      </c>
      <c r="BB51" s="967"/>
      <c r="BC51" s="967"/>
      <c r="BD51" s="967"/>
      <c r="BE51" s="967" t="str">
        <f>IFERROR(ROUNDDOWN(ROUND(AM5*(AC50-Q10),0),0)*AD53,"")</f>
        <v/>
      </c>
      <c r="BF51" s="967"/>
      <c r="BG51" s="967"/>
      <c r="BH51" s="967"/>
      <c r="BI51" s="967">
        <f>SUM(AS51:BH51)</f>
        <v>0</v>
      </c>
      <c r="BJ51" s="967"/>
      <c r="BK51" s="967"/>
      <c r="BL51" s="967"/>
      <c r="BM51" s="134"/>
      <c r="BN51" s="967" t="str">
        <f>IFERROR(ROUNDDOWN(ROUNDDOWN(ROUND(AM5*(VLOOKUP(Y5,【参考】数式用!$A$5:$AB$37,14,FALSE)),0),0)*AD53*0.5,0),"")</f>
        <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
      </c>
      <c r="H52" s="1012"/>
      <c r="I52" s="1012"/>
      <c r="J52" s="1012"/>
      <c r="K52" s="1012"/>
      <c r="L52" s="1114" t="str">
        <f>IFERROR("("&amp;TEXT(L51/H53,"#,##0円")&amp;"/月)","")</f>
        <v/>
      </c>
      <c r="M52" s="1115"/>
      <c r="N52" s="1115"/>
      <c r="O52" s="1115"/>
      <c r="P52" s="1011"/>
      <c r="Q52" s="1012" t="str">
        <f>IFERROR("("&amp;TEXT(Q51/H53,"#,##0円")&amp;"/月)","")</f>
        <v/>
      </c>
      <c r="R52" s="1012"/>
      <c r="S52" s="1012"/>
      <c r="T52" s="1012"/>
      <c r="U52" s="1012"/>
      <c r="V52" s="1012" t="str">
        <f>IFERROR("("&amp;TEXT(V51/H53,"#,##0円")&amp;"/月)","")</f>
        <v>(0円/月)</v>
      </c>
      <c r="W52" s="1012"/>
      <c r="X52" s="1012"/>
      <c r="Y52" s="1012"/>
      <c r="Z52" s="1012"/>
      <c r="AB52" s="58"/>
      <c r="AC52" s="1114" t="str">
        <f>IFERROR("("&amp;TEXT(AC51/AD53,"#,##0円")&amp;"/月)","")</f>
        <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2376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2377</v>
      </c>
      <c r="V57" s="962"/>
      <c r="W57" s="962"/>
      <c r="X57" s="962"/>
      <c r="Y57" s="962"/>
      <c r="Z57" s="509" t="str">
        <f>IF(AND(B9&lt;&gt;"処遇加算なし",F15=4),IF(V21="✓",1,IF(V22="✓",2,"")),"")</f>
        <v/>
      </c>
      <c r="AA57" s="138"/>
      <c r="AB57" s="142"/>
      <c r="AC57" s="962" t="s">
        <v>2377</v>
      </c>
      <c r="AD57" s="962"/>
      <c r="AE57" s="962"/>
      <c r="AF57" s="962"/>
      <c r="AG57" s="962"/>
      <c r="AH57" s="404">
        <f>IF(AND(F15&lt;&gt;4,F15&lt;&gt;5),0,IF(AT8="○",1,0))</f>
        <v>0</v>
      </c>
      <c r="AI57" s="145"/>
      <c r="AJ57" s="142"/>
      <c r="AK57" s="962" t="s">
        <v>2377</v>
      </c>
      <c r="AL57" s="962"/>
      <c r="AM57" s="962"/>
      <c r="AN57" s="962"/>
      <c r="AO57" s="962"/>
      <c r="AP57" s="404">
        <f>IF(AT8="○",1,0)</f>
        <v>0</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2378</v>
      </c>
      <c r="V58" s="970"/>
      <c r="W58" s="970"/>
      <c r="X58" s="970"/>
      <c r="Y58" s="970"/>
      <c r="Z58" s="509" t="str">
        <f>IF(AND(B9&lt;&gt;"処遇加算なし",F15=4),IF(V24="✓",1,IF(V25="✓",2,IF(V26="✓",3,""))),"")</f>
        <v/>
      </c>
      <c r="AA58" s="138"/>
      <c r="AB58" s="142"/>
      <c r="AC58" s="970" t="s">
        <v>2378</v>
      </c>
      <c r="AD58" s="970"/>
      <c r="AE58" s="970"/>
      <c r="AF58" s="970"/>
      <c r="AG58" s="970"/>
      <c r="AH58" s="404">
        <f>IF(AND(F15&lt;&gt;4,F15&lt;&gt;5),0,IF(AU8="○",1,3))</f>
        <v>3</v>
      </c>
      <c r="AI58" s="145"/>
      <c r="AJ58" s="142"/>
      <c r="AK58" s="970" t="s">
        <v>2378</v>
      </c>
      <c r="AL58" s="970"/>
      <c r="AM58" s="970"/>
      <c r="AN58" s="970"/>
      <c r="AO58" s="970"/>
      <c r="AP58" s="404">
        <f>IF(AU8="○",1,3)</f>
        <v>3</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2379</v>
      </c>
      <c r="V59" s="970"/>
      <c r="W59" s="970"/>
      <c r="X59" s="970"/>
      <c r="Y59" s="970"/>
      <c r="Z59" s="509" t="str">
        <f>IF(AND(B9&lt;&gt;"処遇加算なし",F15=4),IF(V28="✓",1,IF(V29="✓",2,IF(V30="✓",3,""))),"")</f>
        <v/>
      </c>
      <c r="AA59" s="138"/>
      <c r="AB59" s="142"/>
      <c r="AC59" s="970" t="s">
        <v>2379</v>
      </c>
      <c r="AD59" s="970"/>
      <c r="AE59" s="970"/>
      <c r="AF59" s="970"/>
      <c r="AG59" s="970"/>
      <c r="AH59" s="404">
        <f>IF(AND(F15&lt;&gt;4,F15&lt;&gt;5),0,IF(AV8="○",1,3))</f>
        <v>3</v>
      </c>
      <c r="AI59" s="145"/>
      <c r="AJ59" s="142"/>
      <c r="AK59" s="970" t="s">
        <v>2379</v>
      </c>
      <c r="AL59" s="970"/>
      <c r="AM59" s="970"/>
      <c r="AN59" s="970"/>
      <c r="AO59" s="970"/>
      <c r="AP59" s="404">
        <f>IF(AV8="○",1,3)</f>
        <v>3</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2380</v>
      </c>
      <c r="V60" s="970"/>
      <c r="W60" s="970"/>
      <c r="X60" s="970"/>
      <c r="Y60" s="970"/>
      <c r="Z60" s="509" t="str">
        <f>IF(AND(B9&lt;&gt;"処遇加算なし",F15=4),IF(V32="✓",1,IF(V33="✓",2,"")),"")</f>
        <v/>
      </c>
      <c r="AA60" s="138"/>
      <c r="AB60" s="142"/>
      <c r="AC60" s="970" t="s">
        <v>2380</v>
      </c>
      <c r="AD60" s="970"/>
      <c r="AE60" s="970"/>
      <c r="AF60" s="970"/>
      <c r="AG60" s="970"/>
      <c r="AH60" s="404">
        <f>IF(AND(F15&lt;&gt;4,F15&lt;&gt;5),0,IF(AW8="○",1,3))</f>
        <v>3</v>
      </c>
      <c r="AI60" s="145"/>
      <c r="AJ60" s="142"/>
      <c r="AK60" s="970" t="s">
        <v>2380</v>
      </c>
      <c r="AL60" s="970"/>
      <c r="AM60" s="970"/>
      <c r="AN60" s="970"/>
      <c r="AO60" s="970"/>
      <c r="AP60" s="404">
        <f>IF(AW8="○",1,3)</f>
        <v>3</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2381</v>
      </c>
      <c r="V61" s="970"/>
      <c r="W61" s="970"/>
      <c r="X61" s="970"/>
      <c r="Y61" s="970"/>
      <c r="Z61" s="509" t="str">
        <f>IF(AND(B9&lt;&gt;"処遇加算なし",F15=4),IF(V36="✓",1,IF(V37="✓",2,"")),"")</f>
        <v/>
      </c>
      <c r="AA61" s="138"/>
      <c r="AB61" s="142"/>
      <c r="AC61" s="970" t="s">
        <v>2381</v>
      </c>
      <c r="AD61" s="970"/>
      <c r="AE61" s="970"/>
      <c r="AF61" s="970"/>
      <c r="AG61" s="970"/>
      <c r="AH61" s="404">
        <f>IF(AND(F15&lt;&gt;4,F15&lt;&gt;5),0,IF(AX8="○",1,2))</f>
        <v>2</v>
      </c>
      <c r="AI61" s="145"/>
      <c r="AJ61" s="142"/>
      <c r="AK61" s="970" t="s">
        <v>2381</v>
      </c>
      <c r="AL61" s="970"/>
      <c r="AM61" s="970"/>
      <c r="AN61" s="970"/>
      <c r="AO61" s="970"/>
      <c r="AP61" s="404">
        <f>IF(AX8="○",1,2)</f>
        <v>2</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2382</v>
      </c>
      <c r="V62" s="970"/>
      <c r="W62" s="970"/>
      <c r="X62" s="970"/>
      <c r="Y62" s="970"/>
      <c r="Z62" s="509" t="str">
        <f>IF(AND(B9&lt;&gt;"処遇加算なし",F15=4),IF(V40="✓",1,IF(V41="✓",2,"")),"")</f>
        <v/>
      </c>
      <c r="AA62" s="138"/>
      <c r="AB62" s="142"/>
      <c r="AC62" s="970" t="s">
        <v>2382</v>
      </c>
      <c r="AD62" s="970"/>
      <c r="AE62" s="970"/>
      <c r="AF62" s="970"/>
      <c r="AG62" s="970"/>
      <c r="AH62" s="404">
        <f>IF(AND(F15&lt;&gt;4,F15&lt;&gt;5),0,IF(AY8="○",1,2))</f>
        <v>2</v>
      </c>
      <c r="AI62" s="145"/>
      <c r="AJ62" s="142"/>
      <c r="AK62" s="970" t="s">
        <v>2382</v>
      </c>
      <c r="AL62" s="970"/>
      <c r="AM62" s="970"/>
      <c r="AN62" s="970"/>
      <c r="AO62" s="970"/>
      <c r="AP62" s="404">
        <f>IF(AY8="○",1,2)</f>
        <v>2</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2383</v>
      </c>
      <c r="V63" s="962"/>
      <c r="W63" s="962"/>
      <c r="X63" s="962"/>
      <c r="Y63" s="962"/>
      <c r="Z63" s="509" t="str">
        <f>IF(AND(B9&lt;&gt;"処遇加算なし",F15=4),IF(V44="✓",1,IF(V45="✓",2,"")),"")</f>
        <v/>
      </c>
      <c r="AA63" s="138"/>
      <c r="AB63" s="142"/>
      <c r="AC63" s="962" t="s">
        <v>2383</v>
      </c>
      <c r="AD63" s="962"/>
      <c r="AE63" s="962"/>
      <c r="AF63" s="962"/>
      <c r="AG63" s="962"/>
      <c r="AH63" s="404">
        <f>IF(AND(F15&lt;&gt;4,F15&lt;&gt;5),0,IF(AZ8="○",1,2))</f>
        <v>2</v>
      </c>
      <c r="AI63" s="145"/>
      <c r="AJ63" s="142"/>
      <c r="AK63" s="962" t="s">
        <v>2383</v>
      </c>
      <c r="AL63" s="962"/>
      <c r="AM63" s="962"/>
      <c r="AN63" s="962"/>
      <c r="AO63" s="962"/>
      <c r="AP63" s="404">
        <f>IF(AZ8="○",1,2)</f>
        <v>2</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CC43044F-DA4A-4C71-9FA6-5A49E2B0971A}">
      <formula1>0</formula1>
    </dataValidation>
    <dataValidation type="list" allowBlank="1" showInputMessage="1" showErrorMessage="1" sqref="AL41:AP41" xr:uid="{7A28C176-C035-482E-ACA5-34E7E46E6DD1}">
      <formula1>INDIRECT(BF1)</formula1>
    </dataValidation>
    <dataValidation type="list" allowBlank="1" showInputMessage="1" showErrorMessage="1" sqref="AD41:AH41" xr:uid="{D4A7C66E-0262-4E2F-9DDE-788D593CAC22}">
      <formula1>INDIRECT(BF1)</formula1>
    </dataValidation>
    <dataValidation type="textLength" operator="equal" allowBlank="1" showInputMessage="1" showErrorMessage="1" error="10桁の介護保険事業所番号を入力してください。_x000a_（桁数が異なるとエラーになります）" sqref="B5:F5" xr:uid="{8DB7AFFC-E6BC-4E42-BA35-ABCBA975035C}">
      <formula1>10</formula1>
    </dataValidation>
    <dataValidation type="list" allowBlank="1" showInputMessage="1" showErrorMessage="1" sqref="K15:K16 D15:D16" xr:uid="{B5857957-7A22-40F4-A182-0A11E3290C05}">
      <formula1>"6,7"</formula1>
    </dataValidation>
    <dataValidation type="list" allowBlank="1" showInputMessage="1" showErrorMessage="1" sqref="M15:M16" xr:uid="{B5FEB326-6757-4543-B86F-D9C7D5A3C954}">
      <formula1>"1,2,3,6,7,8,9,10,11,12"</formula1>
    </dataValidation>
    <dataValidation type="list" allowBlank="1" showInputMessage="1" showErrorMessage="1" sqref="M5:O5" xr:uid="{E0A9BCC4-4BBE-47E0-969A-F0ADC7598450}">
      <formula1>INDIRECT(J5)</formula1>
    </dataValidation>
    <dataValidation type="list" allowBlank="1" showInputMessage="1" showErrorMessage="1" sqref="Y5:AD5" xr:uid="{360399FE-DB7A-4013-A4FE-D17665656C1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FE92DF-71E4-459C-855E-A8A8A4AC1E8C}">
          <x14:formula1>
            <xm:f>【参考】数式用!$B$4:$E$4</xm:f>
          </x14:formula1>
          <xm:sqref>B9:F9</xm:sqref>
        </x14:dataValidation>
        <x14:dataValidation type="list" allowBlank="1" showInputMessage="1" showErrorMessage="1" xr:uid="{9B8F7052-912D-416F-A371-F44FACB97A88}">
          <x14:formula1>
            <xm:f>【参考】数式用!$F$4:$H$4</xm:f>
          </x14:formula1>
          <xm:sqref>G9</xm:sqref>
        </x14:dataValidation>
        <x14:dataValidation type="list" allowBlank="1" showInputMessage="1" showErrorMessage="1" xr:uid="{21C3A73E-F3C3-47F9-8786-886783D42F5F}">
          <x14:formula1>
            <xm:f>【参考】数式用!$I$4:$J$4</xm:f>
          </x14:formula1>
          <xm:sqref>L9</xm:sqref>
        </x14:dataValidation>
        <x14:dataValidation type="list" allowBlank="1" showInputMessage="1" showErrorMessage="1" xr:uid="{5C5B6E00-D085-43F3-B8D6-B65C8288077E}">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94BFC-FF0E-4420-9BD8-5583235072D6}">
  <sheetPr codeName="Sheet6">
    <pageSetUpPr fitToPage="1"/>
  </sheetPr>
  <dimension ref="A1:CJ73"/>
  <sheetViews>
    <sheetView showGridLines="0" view="pageBreakPreview" topLeftCell="F1" zoomScaleNormal="53" zoomScaleSheetLayoutView="100" workbookViewId="0">
      <selection activeCell="AO7" sqref="AO7"/>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2328</v>
      </c>
      <c r="O1" s="997"/>
      <c r="P1" s="997"/>
      <c r="Q1" s="997"/>
      <c r="R1" s="997"/>
      <c r="S1" s="997"/>
      <c r="T1" s="997"/>
      <c r="U1" s="997"/>
      <c r="V1" s="997"/>
      <c r="W1" s="997"/>
      <c r="X1" s="997"/>
      <c r="Y1" s="997"/>
      <c r="Z1" s="997"/>
      <c r="AA1" s="997"/>
      <c r="AB1" s="997"/>
      <c r="AC1" s="997"/>
      <c r="AD1" s="997"/>
      <c r="AE1" s="997"/>
      <c r="AF1" s="1127" t="s">
        <v>25</v>
      </c>
      <c r="AG1" s="1127"/>
      <c r="AH1" s="1127"/>
      <c r="AI1" s="1128" t="str">
        <f>IF(G5="","",G5)</f>
        <v/>
      </c>
      <c r="AJ1" s="1128"/>
      <c r="AK1" s="1128"/>
      <c r="AL1" s="1128"/>
      <c r="AM1" s="1128"/>
      <c r="AN1" s="1128"/>
      <c r="AO1" s="1128"/>
      <c r="AP1" s="1128"/>
      <c r="AS1" s="958" t="str">
        <f>B9&amp;G9&amp;L9</f>
        <v/>
      </c>
      <c r="AT1" s="959"/>
      <c r="AU1" s="959"/>
      <c r="AV1" s="959"/>
      <c r="AW1" s="959"/>
      <c r="AX1" s="959"/>
      <c r="AY1" s="959"/>
      <c r="AZ1" s="959"/>
      <c r="BA1" s="959"/>
      <c r="BB1" s="959"/>
      <c r="BC1" s="959"/>
      <c r="BD1" s="959"/>
      <c r="BE1" s="960"/>
      <c r="BF1" s="957" t="str">
        <f>IFERROR(VLOOKUP(Y5,【参考】数式用!$AH$2:$AI$34,2,FALSE),"")</f>
        <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414"/>
      <c r="AR2" s="414"/>
      <c r="CE2" s="918" t="s">
        <v>2193</v>
      </c>
      <c r="CF2" s="918"/>
      <c r="CG2" s="918"/>
      <c r="CH2" s="918"/>
      <c r="CI2" s="1132" t="str">
        <f>IF(AI1&lt;&gt;"",1,"")</f>
        <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t="str">
        <f>IF(AND(L9="ベア加算",Q49="ベア加算"),1,"")</f>
        <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t="str">
        <f>IF(OR(OR(G49="処遇加算Ⅰ",G49="処遇加算Ⅱ"),OR(AS48="処遇加算Ⅰ",AS48="処遇加算Ⅱ")),1,"")</f>
        <v/>
      </c>
      <c r="CJ4" s="917"/>
    </row>
    <row r="5" spans="1:88" ht="33" customHeight="1">
      <c r="B5" s="1027"/>
      <c r="C5" s="1027"/>
      <c r="D5" s="1027"/>
      <c r="E5" s="1027"/>
      <c r="F5" s="1027"/>
      <c r="G5" s="1028"/>
      <c r="H5" s="1028"/>
      <c r="I5" s="1028"/>
      <c r="J5" s="1029"/>
      <c r="K5" s="1029"/>
      <c r="L5" s="1029"/>
      <c r="M5" s="1030"/>
      <c r="N5" s="1030"/>
      <c r="O5" s="1030"/>
      <c r="P5" s="1138"/>
      <c r="Q5" s="1139"/>
      <c r="R5" s="1139"/>
      <c r="S5" s="1139"/>
      <c r="T5" s="1139"/>
      <c r="U5" s="1139"/>
      <c r="V5" s="1139"/>
      <c r="W5" s="1139"/>
      <c r="X5" s="1140"/>
      <c r="Y5" s="1010"/>
      <c r="Z5" s="1010"/>
      <c r="AA5" s="1010"/>
      <c r="AB5" s="1010"/>
      <c r="AC5" s="1010"/>
      <c r="AD5" s="1010"/>
      <c r="AE5" s="923"/>
      <c r="AF5" s="924"/>
      <c r="AG5" s="924"/>
      <c r="AH5" s="925"/>
      <c r="AI5" s="923"/>
      <c r="AJ5" s="924"/>
      <c r="AK5" s="924"/>
      <c r="AL5" s="925"/>
      <c r="AM5" s="926">
        <f>AE5-AI5</f>
        <v>0</v>
      </c>
      <c r="AN5" s="927"/>
      <c r="AO5" s="927"/>
      <c r="AP5" s="928"/>
      <c r="AS5" s="80"/>
      <c r="AT5" s="911"/>
      <c r="AU5" s="911"/>
      <c r="AV5" s="911"/>
      <c r="AW5" s="911"/>
      <c r="AX5" s="911"/>
      <c r="AY5" s="911"/>
      <c r="AZ5" s="911"/>
      <c r="BA5" s="81"/>
      <c r="CE5" s="918" t="s">
        <v>2186</v>
      </c>
      <c r="CF5" s="918"/>
      <c r="CG5" s="918"/>
      <c r="CH5" s="918"/>
      <c r="CI5" s="916" t="str">
        <f>IF(OR(G49="処遇加算Ⅰ",AS48="処遇加算Ⅰ"),1,"")</f>
        <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t="str">
        <f>IF(OR(AH61=1,AP61=1),1,"")</f>
        <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
      </c>
      <c r="W8" s="930"/>
      <c r="X8" s="930"/>
      <c r="Y8" s="930"/>
      <c r="Z8" s="931"/>
      <c r="AA8" s="919" t="str">
        <f>IFERROR(VLOOKUP(AS1,【参考】数式用2!E6:L23,4,FALSE),"")</f>
        <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29" t="str">
        <f>IF(OR(V8="新加算Ⅰ",V8="新加算Ⅱ",V8="新加算Ⅲ",V8="新加算Ⅴ(１)",V8="新加算Ⅴ(３)",V8="新加算Ⅴ(８)"),"○","")</f>
        <v/>
      </c>
      <c r="AX8" s="1129" t="str">
        <f>IF(OR(V8="新加算Ⅰ",V8="新加算Ⅱ",V8="新加算Ⅴ(１)",V8="新加算Ⅴ(２)",V8="新加算Ⅴ(３)",V8="新加算Ⅴ(４)",V8="新加算Ⅴ(５)",V8="新加算Ⅴ(６)",V8="新加算Ⅴ(７)",V8="新加算Ⅴ(９)",V8="新加算Ⅴ(10)",V8="新加算Ⅴ(12)"),"○","")</f>
        <v/>
      </c>
      <c r="AY8" s="1129" t="str">
        <f>IF(OR(V8="新加算Ⅰ",V8="新加算Ⅴ(１)",V8="新加算Ⅴ(２)",V8="新加算Ⅴ(５)",V8="新加算Ⅴ(７)",V8="新加算Ⅴ(10)"),"○","")</f>
        <v/>
      </c>
      <c r="AZ8" s="1129" t="str">
        <f>IF(OR(V8="新加算Ⅰ",V8="新加算Ⅱ",V8="新加算Ⅴ(１)",V8="新加算Ⅴ(２)",V8="新加算Ⅴ(３)",V8="新加算Ⅴ(４)",V8="新加算Ⅴ(５)",V8="新加算Ⅴ(６)",V8="新加算Ⅴ(７)",V8="新加算Ⅴ(９)",V8="新加算Ⅴ(10)",V8="新加算Ⅴ(12)"),"○","")</f>
        <v/>
      </c>
      <c r="BA8" s="81"/>
      <c r="CE8" s="1136" t="s">
        <v>2188</v>
      </c>
      <c r="CF8" s="1136"/>
      <c r="CG8" s="1136"/>
      <c r="CH8" s="1136"/>
      <c r="CI8" s="916" t="str">
        <f>IF(AND(AP62=1,AL41=""),1,"")</f>
        <v/>
      </c>
      <c r="CJ8" s="917"/>
    </row>
    <row r="9" spans="1:88" ht="26.25" customHeight="1">
      <c r="B9" s="1048"/>
      <c r="C9" s="1049"/>
      <c r="D9" s="1049"/>
      <c r="E9" s="1049"/>
      <c r="F9" s="1050"/>
      <c r="G9" s="1051"/>
      <c r="H9" s="1052"/>
      <c r="I9" s="1052"/>
      <c r="J9" s="1052"/>
      <c r="K9" s="1053"/>
      <c r="L9" s="1054"/>
      <c r="M9" s="1055"/>
      <c r="N9" s="1055"/>
      <c r="O9" s="1055"/>
      <c r="P9" s="1056"/>
      <c r="Q9" s="1031" t="s">
        <v>2052</v>
      </c>
      <c r="R9" s="1032"/>
      <c r="S9" s="1032"/>
      <c r="T9" s="945"/>
      <c r="U9" s="946"/>
      <c r="V9" s="932" t="str">
        <f>IFERROR(VLOOKUP(Y5,【参考】数式用!$A$5:$AB$37,MATCH(V8,【参考】数式用!$B$4:$AB$4,0)+1,FALSE),"")</f>
        <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t="str">
        <f>IF(OR(AH62=1,AP62=1),1,"")</f>
        <v/>
      </c>
      <c r="CJ9" s="917"/>
    </row>
    <row r="10" spans="1:88" ht="11.25" customHeight="1">
      <c r="B10" s="1057" t="str">
        <f>IFERROR(VLOOKUP(Y5,【参考】数式用!$A$5:$J$37,MATCH(B9,【参考】数式用!$B$4:$J$4,0)+1,0),"")</f>
        <v/>
      </c>
      <c r="C10" s="1058"/>
      <c r="D10" s="1058"/>
      <c r="E10" s="1058"/>
      <c r="F10" s="1059"/>
      <c r="G10" s="1057" t="str">
        <f>IFERROR(VLOOKUP(Y5,【参考】数式用!$A$5:$J$37,MATCH(G9,【参考】数式用!$B$4:$J$4,0)+1,0),"")</f>
        <v/>
      </c>
      <c r="H10" s="1058"/>
      <c r="I10" s="1058"/>
      <c r="J10" s="1058"/>
      <c r="K10" s="1059"/>
      <c r="L10" s="1063" t="str">
        <f>IFERROR(VLOOKUP(Y5,【参考】数式用!$A$5:$J$37,MATCH(L9,【参考】数式用!$B$4:$J$4,0)+1,0),"")</f>
        <v/>
      </c>
      <c r="M10" s="1064"/>
      <c r="N10" s="1064"/>
      <c r="O10" s="1064"/>
      <c r="P10" s="1065"/>
      <c r="Q10" s="1069">
        <f>SUM(B10,G10,L10)</f>
        <v>0</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0</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
      </c>
      <c r="W11" s="999"/>
      <c r="X11" s="999"/>
      <c r="Y11" s="999"/>
      <c r="Z11" s="999"/>
      <c r="AA11" s="919" t="str">
        <f>IFERROR(VLOOKUP(AS1,【参考】数式用2!E6:L23,6,FALSE),"")</f>
        <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29" t="str">
        <f>IF(OR(V11="新加算Ⅰ",V11="新加算Ⅱ",V11="新加算Ⅲ",V11="新加算Ⅴ(１)",V11="新加算Ⅴ(３)",V11="新加算Ⅴ(８)"),"○","")</f>
        <v/>
      </c>
      <c r="AX11" s="1129" t="str">
        <f>IF(OR(V11="新加算Ⅰ",V11="新加算Ⅱ",V11="新加算Ⅴ(１)",V11="新加算Ⅴ(２)",V11="新加算Ⅴ(３)",V11="新加算Ⅴ(４)",V11="新加算Ⅴ(５)",V11="新加算Ⅴ(６)",V11="新加算Ⅴ(７)",V11="新加算Ⅴ(９)",V11="新加算Ⅴ(10)",V11="新加算Ⅴ(12)"),"○","")</f>
        <v/>
      </c>
      <c r="AY11" s="1129" t="str">
        <f>IF(OR(V11="新加算Ⅰ",V11="新加算Ⅴ(１)",V11="新加算Ⅴ(２)",V11="新加算Ⅴ(５)",V11="新加算Ⅴ(７)",V11="新加算Ⅴ(10)"),"○","")</f>
        <v/>
      </c>
      <c r="AZ11" s="1129" t="str">
        <f>IF(OR(V11="新加算Ⅰ",V11="新加算Ⅱ",V11="新加算Ⅴ(１)",V11="新加算Ⅴ(２)",V11="新加算Ⅴ(３)",V11="新加算Ⅴ(４)",V11="新加算Ⅴ(５)",V11="新加算Ⅴ(６)",V11="新加算Ⅴ(７)",V11="新加算Ⅴ(９)",V11="新加算Ⅴ(10)",V11="新加算Ⅴ(12)"),"○","")</f>
        <v/>
      </c>
      <c r="BA11" s="97"/>
    </row>
    <row r="12" spans="1:88" ht="25.5" customHeight="1" thickBot="1">
      <c r="A12" s="75"/>
      <c r="B12" s="102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26"/>
      <c r="D12" s="1026"/>
      <c r="E12" s="1026"/>
      <c r="F12" s="1026"/>
      <c r="G12" s="1026"/>
      <c r="H12" s="1026"/>
      <c r="I12" s="1026"/>
      <c r="J12" s="1026"/>
      <c r="K12" s="1026"/>
      <c r="L12" s="1026"/>
      <c r="M12" s="1026"/>
      <c r="N12" s="1026"/>
      <c r="O12" s="1026"/>
      <c r="P12" s="1026"/>
      <c r="Q12" s="1026"/>
      <c r="R12" s="1026"/>
      <c r="S12" s="1026"/>
      <c r="T12" s="956"/>
      <c r="U12" s="946"/>
      <c r="V12" s="1137" t="str">
        <f>IFERROR(VLOOKUP(Y5,【参考】数式用!$A$5:$AB$37,MATCH(V11,【参考】数式用!$B$4:$AB$4,0)+1,FALSE),"")</f>
        <v/>
      </c>
      <c r="W12" s="1137"/>
      <c r="X12" s="1137"/>
      <c r="Y12" s="1137"/>
      <c r="Z12" s="1137"/>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412"/>
      <c r="V14" s="999" t="str">
        <f>IFERROR(IF(VLOOKUP(AS1,【参考】数式用2!E6:L23,7,FALSE)="","",VLOOKUP(AS1,【参考】数式用2!E6:L23,7,FALSE)),"")</f>
        <v/>
      </c>
      <c r="W14" s="999"/>
      <c r="X14" s="999"/>
      <c r="Y14" s="999"/>
      <c r="Z14" s="999"/>
      <c r="AA14" s="948" t="str">
        <f>IFERROR(VLOOKUP(AS1,【参考】数式用2!E6:L23,8,FALSE),"")</f>
        <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54">
        <v>6</v>
      </c>
      <c r="E15" s="415" t="s">
        <v>2111</v>
      </c>
      <c r="F15" s="54">
        <v>4</v>
      </c>
      <c r="G15" s="415" t="s">
        <v>2112</v>
      </c>
      <c r="H15" s="983" t="s">
        <v>2113</v>
      </c>
      <c r="I15" s="983"/>
      <c r="J15" s="996"/>
      <c r="K15" s="54">
        <v>7</v>
      </c>
      <c r="L15" s="415" t="s">
        <v>2111</v>
      </c>
      <c r="M15" s="54">
        <v>3</v>
      </c>
      <c r="N15" s="415" t="s">
        <v>2112</v>
      </c>
      <c r="O15" s="415" t="s">
        <v>2114</v>
      </c>
      <c r="P15" s="99">
        <f>(K15*12+M15)-(D15*12+F15)+1</f>
        <v>12</v>
      </c>
      <c r="Q15" s="983" t="s">
        <v>2115</v>
      </c>
      <c r="R15" s="983"/>
      <c r="S15" s="100" t="s">
        <v>69</v>
      </c>
      <c r="U15" s="412"/>
      <c r="V15" s="984" t="str">
        <f>IFERROR(VLOOKUP(Y5,【参考】数式用!$A$5:$AB$37,MATCH(V14,【参考】数式用!$B$4:$AB$4,0)+1,FALSE),"")</f>
        <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412"/>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413"/>
      <c r="U17" s="413"/>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416" t="str">
        <f>IFERROR(IF(L9="ベア加算","✓",""),"")</f>
        <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416" t="str">
        <f>IFERROR(IF(OR(B9="処遇加算Ⅰ",B9="処遇加算Ⅱ"),"✓",""),"")</f>
        <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416" t="str">
        <f>IFERROR(IF(B9="処遇加算Ⅲ","✓",""),"")</f>
        <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416"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416" t="str">
        <f>IFERROR(IF(OR(B9="処遇加算Ⅰ",B9="処遇加算Ⅱ"),"✓",""),"")</f>
        <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416" t="str">
        <f>IFERROR(IF(B9="処遇加算Ⅲ","✓",""),"")</f>
        <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416"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416" t="str">
        <f>IFERROR(IF(B9="処遇加算Ⅰ","✓",""),"")</f>
        <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416" t="str">
        <f>IFERROR(IF(AND(B9&lt;&gt;"",B9&lt;&gt;"処遇加算Ⅰ"),"✓",""),"")</f>
        <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416" t="str">
        <f>IFERROR(IF(OR(G9="特定加算Ⅰ",G9="特定加算Ⅱ"),"✓",""),"")</f>
        <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416" t="str">
        <f>IFERROR(IF(G9="特定加算なし","✓",""),"")</f>
        <v/>
      </c>
      <c r="W37" s="977" t="s">
        <v>15</v>
      </c>
      <c r="X37" s="978"/>
      <c r="Y37" s="978"/>
      <c r="Z37" s="979"/>
      <c r="AA37" s="945"/>
      <c r="AB37" s="946"/>
      <c r="AC37" s="971" t="s">
        <v>2176</v>
      </c>
      <c r="AD37" s="972"/>
      <c r="AE37" s="972"/>
      <c r="AF37" s="972"/>
      <c r="AG37" s="973"/>
      <c r="AH37" s="974"/>
      <c r="AI37" s="945"/>
      <c r="AJ37" s="946"/>
      <c r="AK37" s="971" t="s">
        <v>2176</v>
      </c>
      <c r="AL37" s="972"/>
      <c r="AM37" s="972"/>
      <c r="AN37" s="972"/>
      <c r="AO37" s="973"/>
      <c r="AP37" s="974"/>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c>
      <c r="H40" s="1001"/>
      <c r="I40" s="1001"/>
      <c r="J40" s="1001"/>
      <c r="K40" s="1001"/>
      <c r="L40" s="1001"/>
      <c r="M40" s="1001"/>
      <c r="N40" s="1001"/>
      <c r="O40" s="1001"/>
      <c r="P40" s="1001"/>
      <c r="Q40" s="1001"/>
      <c r="R40" s="1001"/>
      <c r="S40" s="1001"/>
      <c r="T40" s="1002"/>
      <c r="U40" s="89"/>
      <c r="V40" s="416" t="str">
        <f>IFERROR(IF(G9="特定加算Ⅰ","✓",""),"")</f>
        <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416" t="str">
        <f>IFERROR(IF(OR(G9="特定加算Ⅱ",G9="特定加算なし"),"✓",""),"")</f>
        <v/>
      </c>
      <c r="W41" s="977" t="s">
        <v>15</v>
      </c>
      <c r="X41" s="978"/>
      <c r="Y41" s="978"/>
      <c r="Z41" s="979"/>
      <c r="AA41" s="945"/>
      <c r="AB41" s="946"/>
      <c r="AC41" s="127" t="s">
        <v>83</v>
      </c>
      <c r="AD41" s="1084"/>
      <c r="AE41" s="1085"/>
      <c r="AF41" s="1085"/>
      <c r="AG41" s="1085"/>
      <c r="AH41" s="1086"/>
      <c r="AI41" s="945"/>
      <c r="AJ41" s="946"/>
      <c r="AK41" s="127" t="s">
        <v>83</v>
      </c>
      <c r="AL41" s="1084"/>
      <c r="AM41" s="1085"/>
      <c r="AN41" s="1085"/>
      <c r="AO41" s="1085"/>
      <c r="AP41" s="1086"/>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413"/>
      <c r="AB42" s="413"/>
      <c r="AC42" s="129"/>
      <c r="AD42" s="955" t="s">
        <v>15</v>
      </c>
      <c r="AE42" s="955"/>
      <c r="AF42" s="955"/>
      <c r="AG42" s="955"/>
      <c r="AH42" s="955"/>
      <c r="AI42" s="413"/>
      <c r="AJ42" s="413"/>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2375</v>
      </c>
      <c r="H44" s="1001"/>
      <c r="I44" s="1001"/>
      <c r="J44" s="1001"/>
      <c r="K44" s="1001"/>
      <c r="L44" s="1001"/>
      <c r="M44" s="1001"/>
      <c r="N44" s="1001"/>
      <c r="O44" s="1001"/>
      <c r="P44" s="1001"/>
      <c r="Q44" s="1001"/>
      <c r="R44" s="1001"/>
      <c r="S44" s="1001"/>
      <c r="T44" s="1002"/>
      <c r="U44" s="112"/>
      <c r="V44" s="416" t="str">
        <f>IFERROR(IF(OR(G9="特定加算Ⅰ",G9="特定加算Ⅱ"),"✓",""),"")</f>
        <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416" t="str">
        <f>IFERROR(IF(G9="特定加算なし","✓",""),"")</f>
        <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
      </c>
      <c r="AT48" s="964"/>
      <c r="AU48" s="964"/>
      <c r="AV48" s="964"/>
      <c r="AW48" s="965" t="str">
        <f>IFERROR(IF(AND(AP61=1,AP62=1,AP63=1),"特定加算Ⅰ",IF(AND(AP61=1,AP62=2,AP63=1),"特定加算Ⅱ",IF(OR(AP61=2,AP62=2,AP63=2),"特定加算なし",""))),"")</f>
        <v>特定加算なし</v>
      </c>
      <c r="AX48" s="965"/>
      <c r="AY48" s="965"/>
      <c r="AZ48" s="965"/>
      <c r="BA48" s="964" t="str">
        <f>IFERROR(IF(OR(L9="ベア加算",AP57=1),"ベア加算",IF(AP57=2,"ベア加算なし","")),"")</f>
        <v/>
      </c>
      <c r="BB48" s="964"/>
      <c r="BC48" s="964"/>
      <c r="BD48" s="964"/>
      <c r="BE48" s="966" t="str">
        <f>AS48&amp;AW48&amp;BA48</f>
        <v>特定加算なし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
      </c>
      <c r="H49" s="1088"/>
      <c r="I49" s="1088"/>
      <c r="J49" s="1088"/>
      <c r="K49" s="1113"/>
      <c r="L49" s="1118" t="str">
        <f>IFERROR(IF(G9="","",IF(AND(AH61=1,AH62=1,AH63=1),"特定加算Ⅰ",IF(AND(AH61=1,AH62=2,AH63=1),"特定加算Ⅱ",IF(OR(AH61=2,AH62=2,AH63=2),"特定加算なし","")))),"")</f>
        <v/>
      </c>
      <c r="M49" s="1119"/>
      <c r="N49" s="1119"/>
      <c r="O49" s="1119"/>
      <c r="P49" s="1120"/>
      <c r="Q49" s="1087" t="str">
        <f>IFERROR(IF(OR(L9="ベア加算",AND(L9="ベア加算なし",AH57=1)),"ベア加算",IF(AH57=2,"ベア加算なし","")),"")</f>
        <v/>
      </c>
      <c r="R49" s="1088"/>
      <c r="S49" s="1088"/>
      <c r="T49" s="1088"/>
      <c r="U49" s="1089"/>
      <c r="V49" s="1090" t="s">
        <v>10</v>
      </c>
      <c r="W49" s="1091"/>
      <c r="X49" s="1091"/>
      <c r="Y49" s="1091"/>
      <c r="Z49" s="1091"/>
      <c r="AA49" s="956"/>
      <c r="AB49" s="956"/>
      <c r="AC49" s="1097" t="str">
        <f>IFERROR(VLOOKUP(BE48,【参考】数式用2!E6:F23,2,FALSE),"")</f>
        <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t="str">
        <f>IFERROR(VLOOKUP(Y5,【参考】数式用!$A$5:$J$37,MATCH(G49,【参考】数式用!$B$4:$J$4,0)+1,0),"")</f>
        <v/>
      </c>
      <c r="H50" s="1101"/>
      <c r="I50" s="1101"/>
      <c r="J50" s="1101"/>
      <c r="K50" s="1102"/>
      <c r="L50" s="1103" t="str">
        <f>IFERROR(VLOOKUP(Y5,【参考】数式用!$A$5:$J$37,MATCH(L49,【参考】数式用!$B$4:$J$4,0)+1,0),"")</f>
        <v/>
      </c>
      <c r="M50" s="1104"/>
      <c r="N50" s="1104"/>
      <c r="O50" s="1104"/>
      <c r="P50" s="1105"/>
      <c r="Q50" s="1106" t="str">
        <f>IFERROR(VLOOKUP(Y5,【参考】数式用!$A$5:$J$37,MATCH(Q49,【参考】数式用!$B$4:$J$4,0)+1,0),"")</f>
        <v/>
      </c>
      <c r="R50" s="1101"/>
      <c r="S50" s="1101"/>
      <c r="T50" s="1101"/>
      <c r="U50" s="1107"/>
      <c r="V50" s="1069">
        <f>SUM(G50,L50,Q50)</f>
        <v>0</v>
      </c>
      <c r="W50" s="1070"/>
      <c r="X50" s="1070"/>
      <c r="Y50" s="1070"/>
      <c r="Z50" s="1070"/>
      <c r="AA50" s="956"/>
      <c r="AB50" s="956"/>
      <c r="AC50" s="1108" t="str">
        <f>IFERROR(VLOOKUP(Y5,【参考】数式用!$A$5:$AB$37,MATCH(AC49,【参考】数式用!$B$4:$AB$4,0)+1,FALSE),"")</f>
        <v/>
      </c>
      <c r="AD50" s="1109"/>
      <c r="AE50" s="1109"/>
      <c r="AF50" s="1109"/>
      <c r="AG50" s="1109"/>
      <c r="AH50" s="1110"/>
      <c r="AS50" s="962" t="s">
        <v>2047</v>
      </c>
      <c r="AT50" s="962"/>
      <c r="AU50" s="962"/>
      <c r="AV50" s="962"/>
      <c r="AW50" s="962" t="s">
        <v>2048</v>
      </c>
      <c r="AX50" s="962"/>
      <c r="AY50" s="962"/>
      <c r="AZ50" s="962"/>
      <c r="BA50" s="962" t="s">
        <v>13</v>
      </c>
      <c r="BB50" s="962"/>
      <c r="BC50" s="962"/>
      <c r="BD50" s="962"/>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t="str">
        <f>IFERROR(ROUNDDOWN(ROUND(AM5*G50,0),0)*H53,"")</f>
        <v/>
      </c>
      <c r="H51" s="1016"/>
      <c r="I51" s="1016"/>
      <c r="J51" s="1016"/>
      <c r="K51" s="55" t="s">
        <v>2117</v>
      </c>
      <c r="L51" s="1013" t="str">
        <f>IFERROR(ROUNDDOWN(ROUND(AM5*L50,0),0)*H53,"")</f>
        <v/>
      </c>
      <c r="M51" s="1014"/>
      <c r="N51" s="1014"/>
      <c r="O51" s="1014"/>
      <c r="P51" s="55" t="s">
        <v>2117</v>
      </c>
      <c r="Q51" s="1015" t="str">
        <f>IFERROR(ROUNDDOWN(ROUND(AM5*Q50,0),0)*H53,"")</f>
        <v/>
      </c>
      <c r="R51" s="1016"/>
      <c r="S51" s="1016"/>
      <c r="T51" s="1016"/>
      <c r="U51" s="56" t="s">
        <v>2117</v>
      </c>
      <c r="V51" s="1116">
        <f>IFERROR(SUM(G51,L51,Q51),"")</f>
        <v>0</v>
      </c>
      <c r="W51" s="1117"/>
      <c r="X51" s="1117"/>
      <c r="Y51" s="1117"/>
      <c r="Z51" s="57" t="s">
        <v>2117</v>
      </c>
      <c r="AB51" s="58"/>
      <c r="AC51" s="1015" t="str">
        <f>IFERROR(ROUNDDOWN(ROUND(AM5*AC50,0),0)*AD53,"")</f>
        <v/>
      </c>
      <c r="AD51" s="1016"/>
      <c r="AE51" s="1016"/>
      <c r="AF51" s="1016"/>
      <c r="AG51" s="1016"/>
      <c r="AH51" s="56" t="s">
        <v>2117</v>
      </c>
      <c r="AS51" s="967" t="str">
        <f>IFERROR(ROUNDDOWN(ROUND(AM5*(G50-B10),0),0)*H53,"")</f>
        <v/>
      </c>
      <c r="AT51" s="967"/>
      <c r="AU51" s="967"/>
      <c r="AV51" s="967"/>
      <c r="AW51" s="967" t="str">
        <f>IFERROR(ROUNDDOWN(ROUND(AM5*(L50-G10),0),0)*H53,"")</f>
        <v/>
      </c>
      <c r="AX51" s="967"/>
      <c r="AY51" s="967"/>
      <c r="AZ51" s="967"/>
      <c r="BA51" s="967" t="str">
        <f>IFERROR(ROUNDDOWN(ROUND(AM5*(Q50-L10),0),0)*H53,"")</f>
        <v/>
      </c>
      <c r="BB51" s="967"/>
      <c r="BC51" s="967"/>
      <c r="BD51" s="967"/>
      <c r="BE51" s="967" t="str">
        <f>IFERROR(ROUNDDOWN(ROUND(AM5*(AC50-Q10),0),0)*AD53,"")</f>
        <v/>
      </c>
      <c r="BF51" s="967"/>
      <c r="BG51" s="967"/>
      <c r="BH51" s="967"/>
      <c r="BI51" s="967">
        <f>SUM(AS51:BH51)</f>
        <v>0</v>
      </c>
      <c r="BJ51" s="967"/>
      <c r="BK51" s="967"/>
      <c r="BL51" s="967"/>
      <c r="BM51" s="134"/>
      <c r="BN51" s="967" t="str">
        <f>IFERROR(ROUNDDOWN(ROUNDDOWN(ROUND(AM5*(VLOOKUP(Y5,【参考】数式用!$A$5:$AB$37,14,FALSE)),0),0)*AD53*0.5,0),"")</f>
        <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
      </c>
      <c r="H52" s="1012"/>
      <c r="I52" s="1012"/>
      <c r="J52" s="1012"/>
      <c r="K52" s="1012"/>
      <c r="L52" s="1114" t="str">
        <f>IFERROR("("&amp;TEXT(L51/H53,"#,##0円")&amp;"/月)","")</f>
        <v/>
      </c>
      <c r="M52" s="1115"/>
      <c r="N52" s="1115"/>
      <c r="O52" s="1115"/>
      <c r="P52" s="1011"/>
      <c r="Q52" s="1012" t="str">
        <f>IFERROR("("&amp;TEXT(Q51/H53,"#,##0円")&amp;"/月)","")</f>
        <v/>
      </c>
      <c r="R52" s="1012"/>
      <c r="S52" s="1012"/>
      <c r="T52" s="1012"/>
      <c r="U52" s="1012"/>
      <c r="V52" s="1012" t="str">
        <f>IFERROR("("&amp;TEXT(V51/H53,"#,##0円")&amp;"/月)","")</f>
        <v>(0円/月)</v>
      </c>
      <c r="W52" s="1012"/>
      <c r="X52" s="1012"/>
      <c r="Y52" s="1012"/>
      <c r="Z52" s="1012"/>
      <c r="AB52" s="58"/>
      <c r="AC52" s="1114" t="str">
        <f>IFERROR("("&amp;TEXT(AC51/AD53,"#,##0円")&amp;"/月)","")</f>
        <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2376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2377</v>
      </c>
      <c r="V57" s="962"/>
      <c r="W57" s="962"/>
      <c r="X57" s="962"/>
      <c r="Y57" s="962"/>
      <c r="Z57" s="509" t="str">
        <f>IF(AND(B9&lt;&gt;"処遇加算なし",F15=4),IF(V21="✓",1,IF(V22="✓",2,"")),"")</f>
        <v/>
      </c>
      <c r="AA57" s="138"/>
      <c r="AB57" s="142"/>
      <c r="AC57" s="962" t="s">
        <v>2377</v>
      </c>
      <c r="AD57" s="962"/>
      <c r="AE57" s="962"/>
      <c r="AF57" s="962"/>
      <c r="AG57" s="962"/>
      <c r="AH57" s="404">
        <f>IF(AND(F15&lt;&gt;4,F15&lt;&gt;5),0,IF(AT8="○",1,0))</f>
        <v>0</v>
      </c>
      <c r="AI57" s="145"/>
      <c r="AJ57" s="142"/>
      <c r="AK57" s="962" t="s">
        <v>2377</v>
      </c>
      <c r="AL57" s="962"/>
      <c r="AM57" s="962"/>
      <c r="AN57" s="962"/>
      <c r="AO57" s="962"/>
      <c r="AP57" s="404">
        <f>IF(AT8="○",1,0)</f>
        <v>0</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2378</v>
      </c>
      <c r="V58" s="970"/>
      <c r="W58" s="970"/>
      <c r="X58" s="970"/>
      <c r="Y58" s="970"/>
      <c r="Z58" s="509" t="str">
        <f>IF(AND(B9&lt;&gt;"処遇加算なし",F15=4),IF(V24="✓",1,IF(V25="✓",2,IF(V26="✓",3,""))),"")</f>
        <v/>
      </c>
      <c r="AA58" s="138"/>
      <c r="AB58" s="142"/>
      <c r="AC58" s="970" t="s">
        <v>2378</v>
      </c>
      <c r="AD58" s="970"/>
      <c r="AE58" s="970"/>
      <c r="AF58" s="970"/>
      <c r="AG58" s="970"/>
      <c r="AH58" s="404">
        <f>IF(AND(F15&lt;&gt;4,F15&lt;&gt;5),0,IF(AU8="○",1,3))</f>
        <v>3</v>
      </c>
      <c r="AI58" s="145"/>
      <c r="AJ58" s="142"/>
      <c r="AK58" s="970" t="s">
        <v>2378</v>
      </c>
      <c r="AL58" s="970"/>
      <c r="AM58" s="970"/>
      <c r="AN58" s="970"/>
      <c r="AO58" s="970"/>
      <c r="AP58" s="404">
        <f>IF(AU8="○",1,3)</f>
        <v>3</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2379</v>
      </c>
      <c r="V59" s="970"/>
      <c r="W59" s="970"/>
      <c r="X59" s="970"/>
      <c r="Y59" s="970"/>
      <c r="Z59" s="509" t="str">
        <f>IF(AND(B9&lt;&gt;"処遇加算なし",F15=4),IF(V28="✓",1,IF(V29="✓",2,IF(V30="✓",3,""))),"")</f>
        <v/>
      </c>
      <c r="AA59" s="138"/>
      <c r="AB59" s="142"/>
      <c r="AC59" s="970" t="s">
        <v>2379</v>
      </c>
      <c r="AD59" s="970"/>
      <c r="AE59" s="970"/>
      <c r="AF59" s="970"/>
      <c r="AG59" s="970"/>
      <c r="AH59" s="404">
        <f>IF(AND(F15&lt;&gt;4,F15&lt;&gt;5),0,IF(AV8="○",1,3))</f>
        <v>3</v>
      </c>
      <c r="AI59" s="145"/>
      <c r="AJ59" s="142"/>
      <c r="AK59" s="970" t="s">
        <v>2379</v>
      </c>
      <c r="AL59" s="970"/>
      <c r="AM59" s="970"/>
      <c r="AN59" s="970"/>
      <c r="AO59" s="970"/>
      <c r="AP59" s="404">
        <f>IF(AV8="○",1,3)</f>
        <v>3</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2380</v>
      </c>
      <c r="V60" s="970"/>
      <c r="W60" s="970"/>
      <c r="X60" s="970"/>
      <c r="Y60" s="970"/>
      <c r="Z60" s="509" t="str">
        <f>IF(AND(B9&lt;&gt;"処遇加算なし",F15=4),IF(V32="✓",1,IF(V33="✓",2,"")),"")</f>
        <v/>
      </c>
      <c r="AA60" s="138"/>
      <c r="AB60" s="142"/>
      <c r="AC60" s="970" t="s">
        <v>2380</v>
      </c>
      <c r="AD60" s="970"/>
      <c r="AE60" s="970"/>
      <c r="AF60" s="970"/>
      <c r="AG60" s="970"/>
      <c r="AH60" s="404">
        <f>IF(AND(F15&lt;&gt;4,F15&lt;&gt;5),0,IF(AW8="○",1,3))</f>
        <v>3</v>
      </c>
      <c r="AI60" s="145"/>
      <c r="AJ60" s="142"/>
      <c r="AK60" s="970" t="s">
        <v>2380</v>
      </c>
      <c r="AL60" s="970"/>
      <c r="AM60" s="970"/>
      <c r="AN60" s="970"/>
      <c r="AO60" s="970"/>
      <c r="AP60" s="404">
        <f>IF(AW8="○",1,3)</f>
        <v>3</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2381</v>
      </c>
      <c r="V61" s="970"/>
      <c r="W61" s="970"/>
      <c r="X61" s="970"/>
      <c r="Y61" s="970"/>
      <c r="Z61" s="509" t="str">
        <f>IF(AND(B9&lt;&gt;"処遇加算なし",F15=4),IF(V36="✓",1,IF(V37="✓",2,"")),"")</f>
        <v/>
      </c>
      <c r="AA61" s="138"/>
      <c r="AB61" s="142"/>
      <c r="AC61" s="970" t="s">
        <v>2381</v>
      </c>
      <c r="AD61" s="970"/>
      <c r="AE61" s="970"/>
      <c r="AF61" s="970"/>
      <c r="AG61" s="970"/>
      <c r="AH61" s="404">
        <f>IF(AND(F15&lt;&gt;4,F15&lt;&gt;5),0,IF(AX8="○",1,2))</f>
        <v>2</v>
      </c>
      <c r="AI61" s="145"/>
      <c r="AJ61" s="142"/>
      <c r="AK61" s="970" t="s">
        <v>2381</v>
      </c>
      <c r="AL61" s="970"/>
      <c r="AM61" s="970"/>
      <c r="AN61" s="970"/>
      <c r="AO61" s="970"/>
      <c r="AP61" s="404">
        <f>IF(AX8="○",1,2)</f>
        <v>2</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2382</v>
      </c>
      <c r="V62" s="970"/>
      <c r="W62" s="970"/>
      <c r="X62" s="970"/>
      <c r="Y62" s="970"/>
      <c r="Z62" s="509" t="str">
        <f>IF(AND(B9&lt;&gt;"処遇加算なし",F15=4),IF(V40="✓",1,IF(V41="✓",2,"")),"")</f>
        <v/>
      </c>
      <c r="AA62" s="138"/>
      <c r="AB62" s="142"/>
      <c r="AC62" s="970" t="s">
        <v>2382</v>
      </c>
      <c r="AD62" s="970"/>
      <c r="AE62" s="970"/>
      <c r="AF62" s="970"/>
      <c r="AG62" s="970"/>
      <c r="AH62" s="404">
        <f>IF(AND(F15&lt;&gt;4,F15&lt;&gt;5),0,IF(AY8="○",1,2))</f>
        <v>2</v>
      </c>
      <c r="AI62" s="145"/>
      <c r="AJ62" s="142"/>
      <c r="AK62" s="970" t="s">
        <v>2382</v>
      </c>
      <c r="AL62" s="970"/>
      <c r="AM62" s="970"/>
      <c r="AN62" s="970"/>
      <c r="AO62" s="970"/>
      <c r="AP62" s="404">
        <f>IF(AY8="○",1,2)</f>
        <v>2</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2383</v>
      </c>
      <c r="V63" s="962"/>
      <c r="W63" s="962"/>
      <c r="X63" s="962"/>
      <c r="Y63" s="962"/>
      <c r="Z63" s="509" t="str">
        <f>IF(AND(B9&lt;&gt;"処遇加算なし",F15=4),IF(V44="✓",1,IF(V45="✓",2,"")),"")</f>
        <v/>
      </c>
      <c r="AA63" s="138"/>
      <c r="AB63" s="142"/>
      <c r="AC63" s="962" t="s">
        <v>2383</v>
      </c>
      <c r="AD63" s="962"/>
      <c r="AE63" s="962"/>
      <c r="AF63" s="962"/>
      <c r="AG63" s="962"/>
      <c r="AH63" s="404">
        <f>IF(AND(F15&lt;&gt;4,F15&lt;&gt;5),0,IF(AZ8="○",1,2))</f>
        <v>2</v>
      </c>
      <c r="AI63" s="145"/>
      <c r="AJ63" s="142"/>
      <c r="AK63" s="962" t="s">
        <v>2383</v>
      </c>
      <c r="AL63" s="962"/>
      <c r="AM63" s="962"/>
      <c r="AN63" s="962"/>
      <c r="AO63" s="962"/>
      <c r="AP63" s="404">
        <f>IF(AZ8="○",1,2)</f>
        <v>2</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83F5E76-5F01-4919-BF5B-603961DE7794}">
      <formula1>サービス名</formula1>
    </dataValidation>
    <dataValidation type="list" allowBlank="1" showInputMessage="1" showErrorMessage="1" sqref="M5:O5" xr:uid="{CE9C691A-FDB8-4AA3-BD9A-3F5AC148E408}">
      <formula1>INDIRECT(J5)</formula1>
    </dataValidation>
    <dataValidation type="list" allowBlank="1" showInputMessage="1" showErrorMessage="1" sqref="M15:M16" xr:uid="{2F5166DE-A87D-4C69-AC79-3CBEC7BE70A0}">
      <formula1>"1,2,3,6,7,8,9,10,11,12"</formula1>
    </dataValidation>
    <dataValidation type="list" allowBlank="1" showInputMessage="1" showErrorMessage="1" sqref="K15:K16 D15:D16" xr:uid="{C9E283A9-63EA-4691-A566-26217C8C2F3E}">
      <formula1>"6,7"</formula1>
    </dataValidation>
    <dataValidation type="textLength" operator="equal" allowBlank="1" showInputMessage="1" showErrorMessage="1" error="10桁の介護保険事業所番号を入力してください。_x000a_（桁数が異なるとエラーになります）" sqref="B5:F5" xr:uid="{426A2D91-DB69-442A-A489-6B29B4A04DAE}">
      <formula1>10</formula1>
    </dataValidation>
    <dataValidation type="list" allowBlank="1" showInputMessage="1" showErrorMessage="1" sqref="AD41:AH41" xr:uid="{D738049D-FB26-4F68-ADF6-0CA30E9895F1}">
      <formula1>INDIRECT(BF1)</formula1>
    </dataValidation>
    <dataValidation type="list" allowBlank="1" showInputMessage="1" showErrorMessage="1" sqref="AL41:AP41" xr:uid="{7F420AC2-1EAC-443E-907B-D6DE4D9325C5}">
      <formula1>INDIRECT(BF1)</formula1>
    </dataValidation>
    <dataValidation type="whole" operator="greaterThanOrEqual" allowBlank="1" showInputMessage="1" showErrorMessage="1" prompt="要件を満たす職員数を記入してください。" sqref="AG37:AH37 AO37:AP37" xr:uid="{FEF66752-D9DB-49FE-B74F-CB582F9BEB8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9CDB7B1-136B-4C69-AB85-2566FB0D746C}">
          <x14:formula1>
            <xm:f>【参考】数式用3!$A$3:$A$49</xm:f>
          </x14:formula1>
          <xm:sqref>J5:L5</xm:sqref>
        </x14:dataValidation>
        <x14:dataValidation type="list" allowBlank="1" showInputMessage="1" showErrorMessage="1" xr:uid="{353D84B5-B02D-425C-BBA0-E619B25F29A5}">
          <x14:formula1>
            <xm:f>【参考】数式用!$I$4:$J$4</xm:f>
          </x14:formula1>
          <xm:sqref>L9</xm:sqref>
        </x14:dataValidation>
        <x14:dataValidation type="list" allowBlank="1" showInputMessage="1" showErrorMessage="1" xr:uid="{174F06E8-8E16-4C81-A0E5-FCCADCB54FEE}">
          <x14:formula1>
            <xm:f>【参考】数式用!$F$4:$H$4</xm:f>
          </x14:formula1>
          <xm:sqref>G9</xm:sqref>
        </x14:dataValidation>
        <x14:dataValidation type="list" allowBlank="1" showInputMessage="1" showErrorMessage="1" xr:uid="{C3C52E45-BECB-4AF4-9403-41475E91B86F}">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2F12-12D7-4961-BAA8-DD276F34C808}">
  <sheetPr codeName="Sheet7">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2329</v>
      </c>
      <c r="O1" s="997"/>
      <c r="P1" s="997"/>
      <c r="Q1" s="997"/>
      <c r="R1" s="997"/>
      <c r="S1" s="997"/>
      <c r="T1" s="997"/>
      <c r="U1" s="997"/>
      <c r="V1" s="997"/>
      <c r="W1" s="997"/>
      <c r="X1" s="997"/>
      <c r="Y1" s="997"/>
      <c r="Z1" s="997"/>
      <c r="AA1" s="997"/>
      <c r="AB1" s="997"/>
      <c r="AC1" s="997"/>
      <c r="AD1" s="997"/>
      <c r="AE1" s="997"/>
      <c r="AF1" s="1127" t="s">
        <v>25</v>
      </c>
      <c r="AG1" s="1127"/>
      <c r="AH1" s="1127"/>
      <c r="AI1" s="1128" t="str">
        <f>IF(G5="","",G5)</f>
        <v/>
      </c>
      <c r="AJ1" s="1128"/>
      <c r="AK1" s="1128"/>
      <c r="AL1" s="1128"/>
      <c r="AM1" s="1128"/>
      <c r="AN1" s="1128"/>
      <c r="AO1" s="1128"/>
      <c r="AP1" s="1128"/>
      <c r="AS1" s="958" t="str">
        <f>B9&amp;G9&amp;L9</f>
        <v/>
      </c>
      <c r="AT1" s="959"/>
      <c r="AU1" s="959"/>
      <c r="AV1" s="959"/>
      <c r="AW1" s="959"/>
      <c r="AX1" s="959"/>
      <c r="AY1" s="959"/>
      <c r="AZ1" s="959"/>
      <c r="BA1" s="959"/>
      <c r="BB1" s="959"/>
      <c r="BC1" s="959"/>
      <c r="BD1" s="959"/>
      <c r="BE1" s="960"/>
      <c r="BF1" s="957" t="str">
        <f>IFERROR(VLOOKUP(Y5,【参考】数式用!$AH$2:$AI$34,2,FALSE),"")</f>
        <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511"/>
      <c r="AR2" s="511"/>
      <c r="CE2" s="918" t="s">
        <v>2193</v>
      </c>
      <c r="CF2" s="918"/>
      <c r="CG2" s="918"/>
      <c r="CH2" s="918"/>
      <c r="CI2" s="1132" t="str">
        <f>IF(AI1&lt;&gt;"",1,"")</f>
        <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t="str">
        <f>IF(AND(L9="ベア加算",Q49="ベア加算"),1,"")</f>
        <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t="str">
        <f>IF(OR(OR(G49="処遇加算Ⅰ",G49="処遇加算Ⅱ"),OR(AS48="処遇加算Ⅰ",AS48="処遇加算Ⅱ")),1,"")</f>
        <v/>
      </c>
      <c r="CJ4" s="917"/>
    </row>
    <row r="5" spans="1:88" ht="33" customHeight="1">
      <c r="B5" s="1027"/>
      <c r="C5" s="1027"/>
      <c r="D5" s="1027"/>
      <c r="E5" s="1027"/>
      <c r="F5" s="1027"/>
      <c r="G5" s="1028"/>
      <c r="H5" s="1028"/>
      <c r="I5" s="1028"/>
      <c r="J5" s="1029"/>
      <c r="K5" s="1029"/>
      <c r="L5" s="1029"/>
      <c r="M5" s="1030"/>
      <c r="N5" s="1030"/>
      <c r="O5" s="1030"/>
      <c r="P5" s="1138"/>
      <c r="Q5" s="1139"/>
      <c r="R5" s="1139"/>
      <c r="S5" s="1139"/>
      <c r="T5" s="1139"/>
      <c r="U5" s="1139"/>
      <c r="V5" s="1139"/>
      <c r="W5" s="1139"/>
      <c r="X5" s="1140"/>
      <c r="Y5" s="1010"/>
      <c r="Z5" s="1010"/>
      <c r="AA5" s="1010"/>
      <c r="AB5" s="1010"/>
      <c r="AC5" s="1010"/>
      <c r="AD5" s="1010"/>
      <c r="AE5" s="923"/>
      <c r="AF5" s="924"/>
      <c r="AG5" s="924"/>
      <c r="AH5" s="925"/>
      <c r="AI5" s="923"/>
      <c r="AJ5" s="924"/>
      <c r="AK5" s="924"/>
      <c r="AL5" s="925"/>
      <c r="AM5" s="926">
        <f>AE5-AI5</f>
        <v>0</v>
      </c>
      <c r="AN5" s="927"/>
      <c r="AO5" s="927"/>
      <c r="AP5" s="928"/>
      <c r="AS5" s="80"/>
      <c r="AT5" s="911"/>
      <c r="AU5" s="911"/>
      <c r="AV5" s="911"/>
      <c r="AW5" s="911"/>
      <c r="AX5" s="911"/>
      <c r="AY5" s="911"/>
      <c r="AZ5" s="911"/>
      <c r="BA5" s="81"/>
      <c r="CE5" s="918" t="s">
        <v>2186</v>
      </c>
      <c r="CF5" s="918"/>
      <c r="CG5" s="918"/>
      <c r="CH5" s="918"/>
      <c r="CI5" s="916" t="str">
        <f>IF(OR(G49="処遇加算Ⅰ",AS48="処遇加算Ⅰ"),1,"")</f>
        <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t="str">
        <f>IF(OR(AH61=1,AP61=1),1,"")</f>
        <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
      </c>
      <c r="W8" s="930"/>
      <c r="X8" s="930"/>
      <c r="Y8" s="930"/>
      <c r="Z8" s="931"/>
      <c r="AA8" s="919" t="str">
        <f>IFERROR(VLOOKUP(AS1,【参考】数式用2!E6:L23,4,FALSE),"")</f>
        <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29" t="str">
        <f>IF(OR(V8="新加算Ⅰ",V8="新加算Ⅱ",V8="新加算Ⅲ",V8="新加算Ⅴ(１)",V8="新加算Ⅴ(３)",V8="新加算Ⅴ(８)"),"○","")</f>
        <v/>
      </c>
      <c r="AX8" s="1129" t="str">
        <f>IF(OR(V8="新加算Ⅰ",V8="新加算Ⅱ",V8="新加算Ⅴ(１)",V8="新加算Ⅴ(２)",V8="新加算Ⅴ(３)",V8="新加算Ⅴ(４)",V8="新加算Ⅴ(５)",V8="新加算Ⅴ(６)",V8="新加算Ⅴ(７)",V8="新加算Ⅴ(９)",V8="新加算Ⅴ(10)",V8="新加算Ⅴ(12)"),"○","")</f>
        <v/>
      </c>
      <c r="AY8" s="1129" t="str">
        <f>IF(OR(V8="新加算Ⅰ",V8="新加算Ⅴ(１)",V8="新加算Ⅴ(２)",V8="新加算Ⅴ(５)",V8="新加算Ⅴ(７)",V8="新加算Ⅴ(10)"),"○","")</f>
        <v/>
      </c>
      <c r="AZ8" s="1129" t="str">
        <f>IF(OR(V8="新加算Ⅰ",V8="新加算Ⅱ",V8="新加算Ⅴ(１)",V8="新加算Ⅴ(２)",V8="新加算Ⅴ(３)",V8="新加算Ⅴ(４)",V8="新加算Ⅴ(５)",V8="新加算Ⅴ(６)",V8="新加算Ⅴ(７)",V8="新加算Ⅴ(９)",V8="新加算Ⅴ(10)",V8="新加算Ⅴ(12)"),"○","")</f>
        <v/>
      </c>
      <c r="BA8" s="81"/>
      <c r="CE8" s="1136" t="s">
        <v>2188</v>
      </c>
      <c r="CF8" s="1136"/>
      <c r="CG8" s="1136"/>
      <c r="CH8" s="1136"/>
      <c r="CI8" s="916" t="str">
        <f>IF(AND(AP62=1,AL41=""),1,"")</f>
        <v/>
      </c>
      <c r="CJ8" s="917"/>
    </row>
    <row r="9" spans="1:88" ht="26.25" customHeight="1">
      <c r="B9" s="1048"/>
      <c r="C9" s="1049"/>
      <c r="D9" s="1049"/>
      <c r="E9" s="1049"/>
      <c r="F9" s="1050"/>
      <c r="G9" s="1051"/>
      <c r="H9" s="1052"/>
      <c r="I9" s="1052"/>
      <c r="J9" s="1052"/>
      <c r="K9" s="1053"/>
      <c r="L9" s="1054"/>
      <c r="M9" s="1055"/>
      <c r="N9" s="1055"/>
      <c r="O9" s="1055"/>
      <c r="P9" s="1056"/>
      <c r="Q9" s="1031" t="s">
        <v>2052</v>
      </c>
      <c r="R9" s="1032"/>
      <c r="S9" s="1032"/>
      <c r="T9" s="945"/>
      <c r="U9" s="946"/>
      <c r="V9" s="932" t="str">
        <f>IFERROR(VLOOKUP(Y5,【参考】数式用!$A$5:$AB$37,MATCH(V8,【参考】数式用!$B$4:$AB$4,0)+1,FALSE),"")</f>
        <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t="str">
        <f>IF(OR(AH62=1,AP62=1),1,"")</f>
        <v/>
      </c>
      <c r="CJ9" s="917"/>
    </row>
    <row r="10" spans="1:88" ht="11.25" customHeight="1">
      <c r="B10" s="1057" t="str">
        <f>IFERROR(VLOOKUP(Y5,【参考】数式用!$A$5:$J$37,MATCH(B9,【参考】数式用!$B$4:$J$4,0)+1,0),"")</f>
        <v/>
      </c>
      <c r="C10" s="1058"/>
      <c r="D10" s="1058"/>
      <c r="E10" s="1058"/>
      <c r="F10" s="1059"/>
      <c r="G10" s="1057" t="str">
        <f>IFERROR(VLOOKUP(Y5,【参考】数式用!$A$5:$J$37,MATCH(G9,【参考】数式用!$B$4:$J$4,0)+1,0),"")</f>
        <v/>
      </c>
      <c r="H10" s="1058"/>
      <c r="I10" s="1058"/>
      <c r="J10" s="1058"/>
      <c r="K10" s="1059"/>
      <c r="L10" s="1063" t="str">
        <f>IFERROR(VLOOKUP(Y5,【参考】数式用!$A$5:$J$37,MATCH(L9,【参考】数式用!$B$4:$J$4,0)+1,0),"")</f>
        <v/>
      </c>
      <c r="M10" s="1064"/>
      <c r="N10" s="1064"/>
      <c r="O10" s="1064"/>
      <c r="P10" s="1065"/>
      <c r="Q10" s="1069">
        <f>SUM(B10,G10,L10)</f>
        <v>0</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0</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
      </c>
      <c r="W11" s="999"/>
      <c r="X11" s="999"/>
      <c r="Y11" s="999"/>
      <c r="Z11" s="999"/>
      <c r="AA11" s="919" t="str">
        <f>IFERROR(VLOOKUP(AS1,【参考】数式用2!E6:L23,6,FALSE),"")</f>
        <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29" t="str">
        <f>IF(OR(V11="新加算Ⅰ",V11="新加算Ⅱ",V11="新加算Ⅲ",V11="新加算Ⅴ(１)",V11="新加算Ⅴ(３)",V11="新加算Ⅴ(８)"),"○","")</f>
        <v/>
      </c>
      <c r="AX11" s="1129" t="str">
        <f>IF(OR(V11="新加算Ⅰ",V11="新加算Ⅱ",V11="新加算Ⅴ(１)",V11="新加算Ⅴ(２)",V11="新加算Ⅴ(３)",V11="新加算Ⅴ(４)",V11="新加算Ⅴ(５)",V11="新加算Ⅴ(６)",V11="新加算Ⅴ(７)",V11="新加算Ⅴ(９)",V11="新加算Ⅴ(10)",V11="新加算Ⅴ(12)"),"○","")</f>
        <v/>
      </c>
      <c r="AY11" s="1129" t="str">
        <f>IF(OR(V11="新加算Ⅰ",V11="新加算Ⅴ(１)",V11="新加算Ⅴ(２)",V11="新加算Ⅴ(５)",V11="新加算Ⅴ(７)",V11="新加算Ⅴ(10)"),"○","")</f>
        <v/>
      </c>
      <c r="AZ11" s="1129" t="str">
        <f>IF(OR(V11="新加算Ⅰ",V11="新加算Ⅱ",V11="新加算Ⅴ(１)",V11="新加算Ⅴ(２)",V11="新加算Ⅴ(３)",V11="新加算Ⅴ(４)",V11="新加算Ⅴ(５)",V11="新加算Ⅴ(６)",V11="新加算Ⅴ(７)",V11="新加算Ⅴ(９)",V11="新加算Ⅴ(10)",V11="新加算Ⅴ(12)"),"○","")</f>
        <v/>
      </c>
      <c r="BA11" s="97"/>
    </row>
    <row r="12" spans="1:88" ht="25.5" customHeight="1" thickBot="1">
      <c r="A12" s="75"/>
      <c r="B12" s="102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26"/>
      <c r="D12" s="1026"/>
      <c r="E12" s="1026"/>
      <c r="F12" s="1026"/>
      <c r="G12" s="1026"/>
      <c r="H12" s="1026"/>
      <c r="I12" s="1026"/>
      <c r="J12" s="1026"/>
      <c r="K12" s="1026"/>
      <c r="L12" s="1026"/>
      <c r="M12" s="1026"/>
      <c r="N12" s="1026"/>
      <c r="O12" s="1026"/>
      <c r="P12" s="1026"/>
      <c r="Q12" s="1026"/>
      <c r="R12" s="1026"/>
      <c r="S12" s="1026"/>
      <c r="T12" s="956"/>
      <c r="U12" s="946"/>
      <c r="V12" s="1137" t="str">
        <f>IFERROR(VLOOKUP(Y5,【参考】数式用!$A$5:$AB$37,MATCH(V11,【参考】数式用!$B$4:$AB$4,0)+1,FALSE),"")</f>
        <v/>
      </c>
      <c r="W12" s="1137"/>
      <c r="X12" s="1137"/>
      <c r="Y12" s="1137"/>
      <c r="Z12" s="1137"/>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508"/>
      <c r="V14" s="999" t="str">
        <f>IFERROR(IF(VLOOKUP(AS1,【参考】数式用2!E6:L23,7,FALSE)="","",VLOOKUP(AS1,【参考】数式用2!E6:L23,7,FALSE)),"")</f>
        <v/>
      </c>
      <c r="W14" s="999"/>
      <c r="X14" s="999"/>
      <c r="Y14" s="999"/>
      <c r="Z14" s="999"/>
      <c r="AA14" s="948" t="str">
        <f>IFERROR(VLOOKUP(AS1,【参考】数式用2!E6:L23,8,FALSE),"")</f>
        <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54">
        <v>6</v>
      </c>
      <c r="E15" s="512" t="s">
        <v>2111</v>
      </c>
      <c r="F15" s="54">
        <v>4</v>
      </c>
      <c r="G15" s="512" t="s">
        <v>2112</v>
      </c>
      <c r="H15" s="983" t="s">
        <v>2113</v>
      </c>
      <c r="I15" s="983"/>
      <c r="J15" s="996"/>
      <c r="K15" s="54">
        <v>7</v>
      </c>
      <c r="L15" s="512" t="s">
        <v>2111</v>
      </c>
      <c r="M15" s="54">
        <v>3</v>
      </c>
      <c r="N15" s="512" t="s">
        <v>2112</v>
      </c>
      <c r="O15" s="512" t="s">
        <v>2114</v>
      </c>
      <c r="P15" s="99">
        <f>(K15*12+M15)-(D15*12+F15)+1</f>
        <v>12</v>
      </c>
      <c r="Q15" s="983" t="s">
        <v>2115</v>
      </c>
      <c r="R15" s="983"/>
      <c r="S15" s="100" t="s">
        <v>69</v>
      </c>
      <c r="U15" s="508"/>
      <c r="V15" s="984" t="str">
        <f>IFERROR(VLOOKUP(Y5,【参考】数式用!$A$5:$AB$37,MATCH(V14,【参考】数式用!$B$4:$AB$4,0)+1,FALSE),"")</f>
        <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508"/>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510"/>
      <c r="U17" s="510"/>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513" t="str">
        <f>IFERROR(IF(L9="ベア加算","✓",""),"")</f>
        <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513" t="str">
        <f>IFERROR(IF(OR(B9="処遇加算Ⅰ",B9="処遇加算Ⅱ"),"✓",""),"")</f>
        <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513" t="str">
        <f>IFERROR(IF(B9="処遇加算Ⅲ","✓",""),"")</f>
        <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513"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513" t="str">
        <f>IFERROR(IF(OR(B9="処遇加算Ⅰ",B9="処遇加算Ⅱ"),"✓",""),"")</f>
        <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513" t="str">
        <f>IFERROR(IF(B9="処遇加算Ⅲ","✓",""),"")</f>
        <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513"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513" t="str">
        <f>IFERROR(IF(B9="処遇加算Ⅰ","✓",""),"")</f>
        <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513" t="str">
        <f>IFERROR(IF(AND(B9&lt;&gt;"",B9&lt;&gt;"処遇加算Ⅰ"),"✓",""),"")</f>
        <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513" t="str">
        <f>IFERROR(IF(OR(G9="特定加算Ⅰ",G9="特定加算Ⅱ"),"✓",""),"")</f>
        <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513" t="str">
        <f>IFERROR(IF(G9="特定加算なし","✓",""),"")</f>
        <v/>
      </c>
      <c r="W37" s="977" t="s">
        <v>15</v>
      </c>
      <c r="X37" s="978"/>
      <c r="Y37" s="978"/>
      <c r="Z37" s="979"/>
      <c r="AA37" s="945"/>
      <c r="AB37" s="946"/>
      <c r="AC37" s="971" t="s">
        <v>2176</v>
      </c>
      <c r="AD37" s="972"/>
      <c r="AE37" s="972"/>
      <c r="AF37" s="972"/>
      <c r="AG37" s="973"/>
      <c r="AH37" s="974"/>
      <c r="AI37" s="945"/>
      <c r="AJ37" s="946"/>
      <c r="AK37" s="971" t="s">
        <v>2176</v>
      </c>
      <c r="AL37" s="972"/>
      <c r="AM37" s="972"/>
      <c r="AN37" s="972"/>
      <c r="AO37" s="973"/>
      <c r="AP37" s="974"/>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c>
      <c r="H40" s="1001"/>
      <c r="I40" s="1001"/>
      <c r="J40" s="1001"/>
      <c r="K40" s="1001"/>
      <c r="L40" s="1001"/>
      <c r="M40" s="1001"/>
      <c r="N40" s="1001"/>
      <c r="O40" s="1001"/>
      <c r="P40" s="1001"/>
      <c r="Q40" s="1001"/>
      <c r="R40" s="1001"/>
      <c r="S40" s="1001"/>
      <c r="T40" s="1002"/>
      <c r="U40" s="89"/>
      <c r="V40" s="513" t="str">
        <f>IFERROR(IF(G9="特定加算Ⅰ","✓",""),"")</f>
        <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513" t="str">
        <f>IFERROR(IF(OR(G9="特定加算Ⅱ",G9="特定加算なし"),"✓",""),"")</f>
        <v/>
      </c>
      <c r="W41" s="977" t="s">
        <v>15</v>
      </c>
      <c r="X41" s="978"/>
      <c r="Y41" s="978"/>
      <c r="Z41" s="979"/>
      <c r="AA41" s="945"/>
      <c r="AB41" s="946"/>
      <c r="AC41" s="127" t="s">
        <v>83</v>
      </c>
      <c r="AD41" s="1084"/>
      <c r="AE41" s="1085"/>
      <c r="AF41" s="1085"/>
      <c r="AG41" s="1085"/>
      <c r="AH41" s="1086"/>
      <c r="AI41" s="945"/>
      <c r="AJ41" s="946"/>
      <c r="AK41" s="127" t="s">
        <v>83</v>
      </c>
      <c r="AL41" s="1084"/>
      <c r="AM41" s="1085"/>
      <c r="AN41" s="1085"/>
      <c r="AO41" s="1085"/>
      <c r="AP41" s="1086"/>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510"/>
      <c r="AB42" s="510"/>
      <c r="AC42" s="129"/>
      <c r="AD42" s="955" t="s">
        <v>15</v>
      </c>
      <c r="AE42" s="955"/>
      <c r="AF42" s="955"/>
      <c r="AG42" s="955"/>
      <c r="AH42" s="955"/>
      <c r="AI42" s="510"/>
      <c r="AJ42" s="510"/>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2375</v>
      </c>
      <c r="H44" s="1001"/>
      <c r="I44" s="1001"/>
      <c r="J44" s="1001"/>
      <c r="K44" s="1001"/>
      <c r="L44" s="1001"/>
      <c r="M44" s="1001"/>
      <c r="N44" s="1001"/>
      <c r="O44" s="1001"/>
      <c r="P44" s="1001"/>
      <c r="Q44" s="1001"/>
      <c r="R44" s="1001"/>
      <c r="S44" s="1001"/>
      <c r="T44" s="1002"/>
      <c r="U44" s="112"/>
      <c r="V44" s="513" t="str">
        <f>IFERROR(IF(OR(G9="特定加算Ⅰ",G9="特定加算Ⅱ"),"✓",""),"")</f>
        <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513" t="str">
        <f>IFERROR(IF(G9="特定加算なし","✓",""),"")</f>
        <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
      </c>
      <c r="AT48" s="964"/>
      <c r="AU48" s="964"/>
      <c r="AV48" s="964"/>
      <c r="AW48" s="965" t="str">
        <f>IFERROR(IF(AND(AP61=1,AP62=1,AP63=1),"特定加算Ⅰ",IF(AND(AP61=1,AP62=2,AP63=1),"特定加算Ⅱ",IF(OR(AP61=2,AP62=2,AP63=2),"特定加算なし",""))),"")</f>
        <v>特定加算なし</v>
      </c>
      <c r="AX48" s="965"/>
      <c r="AY48" s="965"/>
      <c r="AZ48" s="965"/>
      <c r="BA48" s="964" t="str">
        <f>IFERROR(IF(OR(L9="ベア加算",AP57=1),"ベア加算",IF(AP57=2,"ベア加算なし","")),"")</f>
        <v/>
      </c>
      <c r="BB48" s="964"/>
      <c r="BC48" s="964"/>
      <c r="BD48" s="964"/>
      <c r="BE48" s="966" t="str">
        <f>AS48&amp;AW48&amp;BA48</f>
        <v>特定加算なし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
      </c>
      <c r="H49" s="1088"/>
      <c r="I49" s="1088"/>
      <c r="J49" s="1088"/>
      <c r="K49" s="1113"/>
      <c r="L49" s="1118" t="str">
        <f>IFERROR(IF(G9="","",IF(AND(AH61=1,AH62=1,AH63=1),"特定加算Ⅰ",IF(AND(AH61=1,AH62=2,AH63=1),"特定加算Ⅱ",IF(OR(AH61=2,AH62=2,AH63=2),"特定加算なし","")))),"")</f>
        <v/>
      </c>
      <c r="M49" s="1119"/>
      <c r="N49" s="1119"/>
      <c r="O49" s="1119"/>
      <c r="P49" s="1120"/>
      <c r="Q49" s="1087" t="str">
        <f>IFERROR(IF(OR(L9="ベア加算",AND(L9="ベア加算なし",AH57=1)),"ベア加算",IF(AH57=2,"ベア加算なし","")),"")</f>
        <v/>
      </c>
      <c r="R49" s="1088"/>
      <c r="S49" s="1088"/>
      <c r="T49" s="1088"/>
      <c r="U49" s="1089"/>
      <c r="V49" s="1090" t="s">
        <v>10</v>
      </c>
      <c r="W49" s="1091"/>
      <c r="X49" s="1091"/>
      <c r="Y49" s="1091"/>
      <c r="Z49" s="1091"/>
      <c r="AA49" s="956"/>
      <c r="AB49" s="956"/>
      <c r="AC49" s="1097" t="str">
        <f>IFERROR(VLOOKUP(BE48,【参考】数式用2!E6:F23,2,FALSE),"")</f>
        <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t="str">
        <f>IFERROR(VLOOKUP(Y5,【参考】数式用!$A$5:$J$37,MATCH(G49,【参考】数式用!$B$4:$J$4,0)+1,0),"")</f>
        <v/>
      </c>
      <c r="H50" s="1101"/>
      <c r="I50" s="1101"/>
      <c r="J50" s="1101"/>
      <c r="K50" s="1102"/>
      <c r="L50" s="1103" t="str">
        <f>IFERROR(VLOOKUP(Y5,【参考】数式用!$A$5:$J$37,MATCH(L49,【参考】数式用!$B$4:$J$4,0)+1,0),"")</f>
        <v/>
      </c>
      <c r="M50" s="1104"/>
      <c r="N50" s="1104"/>
      <c r="O50" s="1104"/>
      <c r="P50" s="1105"/>
      <c r="Q50" s="1106" t="str">
        <f>IFERROR(VLOOKUP(Y5,【参考】数式用!$A$5:$J$37,MATCH(Q49,【参考】数式用!$B$4:$J$4,0)+1,0),"")</f>
        <v/>
      </c>
      <c r="R50" s="1101"/>
      <c r="S50" s="1101"/>
      <c r="T50" s="1101"/>
      <c r="U50" s="1107"/>
      <c r="V50" s="1069">
        <f>SUM(G50,L50,Q50)</f>
        <v>0</v>
      </c>
      <c r="W50" s="1070"/>
      <c r="X50" s="1070"/>
      <c r="Y50" s="1070"/>
      <c r="Z50" s="1070"/>
      <c r="AA50" s="956"/>
      <c r="AB50" s="956"/>
      <c r="AC50" s="1108" t="str">
        <f>IFERROR(VLOOKUP(Y5,【参考】数式用!$A$5:$AB$37,MATCH(AC49,【参考】数式用!$B$4:$AB$4,0)+1,FALSE),"")</f>
        <v/>
      </c>
      <c r="AD50" s="1109"/>
      <c r="AE50" s="1109"/>
      <c r="AF50" s="1109"/>
      <c r="AG50" s="1109"/>
      <c r="AH50" s="1110"/>
      <c r="AS50" s="962" t="s">
        <v>2047</v>
      </c>
      <c r="AT50" s="962"/>
      <c r="AU50" s="962"/>
      <c r="AV50" s="962"/>
      <c r="AW50" s="962" t="s">
        <v>2048</v>
      </c>
      <c r="AX50" s="962"/>
      <c r="AY50" s="962"/>
      <c r="AZ50" s="962"/>
      <c r="BA50" s="962" t="s">
        <v>13</v>
      </c>
      <c r="BB50" s="962"/>
      <c r="BC50" s="962"/>
      <c r="BD50" s="962"/>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t="str">
        <f>IFERROR(ROUNDDOWN(ROUND(AM5*G50,0),0)*H53,"")</f>
        <v/>
      </c>
      <c r="H51" s="1016"/>
      <c r="I51" s="1016"/>
      <c r="J51" s="1016"/>
      <c r="K51" s="55" t="s">
        <v>2117</v>
      </c>
      <c r="L51" s="1013" t="str">
        <f>IFERROR(ROUNDDOWN(ROUND(AM5*L50,0),0)*H53,"")</f>
        <v/>
      </c>
      <c r="M51" s="1014"/>
      <c r="N51" s="1014"/>
      <c r="O51" s="1014"/>
      <c r="P51" s="55" t="s">
        <v>2117</v>
      </c>
      <c r="Q51" s="1015" t="str">
        <f>IFERROR(ROUNDDOWN(ROUND(AM5*Q50,0),0)*H53,"")</f>
        <v/>
      </c>
      <c r="R51" s="1016"/>
      <c r="S51" s="1016"/>
      <c r="T51" s="1016"/>
      <c r="U51" s="56" t="s">
        <v>2117</v>
      </c>
      <c r="V51" s="1116">
        <f>IFERROR(SUM(G51,L51,Q51),"")</f>
        <v>0</v>
      </c>
      <c r="W51" s="1117"/>
      <c r="X51" s="1117"/>
      <c r="Y51" s="1117"/>
      <c r="Z51" s="57" t="s">
        <v>2117</v>
      </c>
      <c r="AB51" s="58"/>
      <c r="AC51" s="1015" t="str">
        <f>IFERROR(ROUNDDOWN(ROUND(AM5*AC50,0),0)*AD53,"")</f>
        <v/>
      </c>
      <c r="AD51" s="1016"/>
      <c r="AE51" s="1016"/>
      <c r="AF51" s="1016"/>
      <c r="AG51" s="1016"/>
      <c r="AH51" s="56" t="s">
        <v>2117</v>
      </c>
      <c r="AS51" s="967" t="str">
        <f>IFERROR(ROUNDDOWN(ROUND(AM5*(G50-B10),0),0)*H53,"")</f>
        <v/>
      </c>
      <c r="AT51" s="967"/>
      <c r="AU51" s="967"/>
      <c r="AV51" s="967"/>
      <c r="AW51" s="967" t="str">
        <f>IFERROR(ROUNDDOWN(ROUND(AM5*(L50-G10),0),0)*H53,"")</f>
        <v/>
      </c>
      <c r="AX51" s="967"/>
      <c r="AY51" s="967"/>
      <c r="AZ51" s="967"/>
      <c r="BA51" s="967" t="str">
        <f>IFERROR(ROUNDDOWN(ROUND(AM5*(Q50-L10),0),0)*H53,"")</f>
        <v/>
      </c>
      <c r="BB51" s="967"/>
      <c r="BC51" s="967"/>
      <c r="BD51" s="967"/>
      <c r="BE51" s="967" t="str">
        <f>IFERROR(ROUNDDOWN(ROUND(AM5*(AC50-Q10),0),0)*AD53,"")</f>
        <v/>
      </c>
      <c r="BF51" s="967"/>
      <c r="BG51" s="967"/>
      <c r="BH51" s="967"/>
      <c r="BI51" s="967">
        <f>SUM(AS51:BH51)</f>
        <v>0</v>
      </c>
      <c r="BJ51" s="967"/>
      <c r="BK51" s="967"/>
      <c r="BL51" s="967"/>
      <c r="BM51" s="134"/>
      <c r="BN51" s="967" t="str">
        <f>IFERROR(ROUNDDOWN(ROUNDDOWN(ROUND(AM5*(VLOOKUP(Y5,【参考】数式用!$A$5:$AB$37,14,FALSE)),0),0)*AD53*0.5,0),"")</f>
        <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
      </c>
      <c r="H52" s="1012"/>
      <c r="I52" s="1012"/>
      <c r="J52" s="1012"/>
      <c r="K52" s="1012"/>
      <c r="L52" s="1114" t="str">
        <f>IFERROR("("&amp;TEXT(L51/H53,"#,##0円")&amp;"/月)","")</f>
        <v/>
      </c>
      <c r="M52" s="1115"/>
      <c r="N52" s="1115"/>
      <c r="O52" s="1115"/>
      <c r="P52" s="1011"/>
      <c r="Q52" s="1012" t="str">
        <f>IFERROR("("&amp;TEXT(Q51/H53,"#,##0円")&amp;"/月)","")</f>
        <v/>
      </c>
      <c r="R52" s="1012"/>
      <c r="S52" s="1012"/>
      <c r="T52" s="1012"/>
      <c r="U52" s="1012"/>
      <c r="V52" s="1012" t="str">
        <f>IFERROR("("&amp;TEXT(V51/H53,"#,##0円")&amp;"/月)","")</f>
        <v>(0円/月)</v>
      </c>
      <c r="W52" s="1012"/>
      <c r="X52" s="1012"/>
      <c r="Y52" s="1012"/>
      <c r="Z52" s="1012"/>
      <c r="AB52" s="58"/>
      <c r="AC52" s="1114" t="str">
        <f>IFERROR("("&amp;TEXT(AC51/AD53,"#,##0円")&amp;"/月)","")</f>
        <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2376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2377</v>
      </c>
      <c r="V57" s="962"/>
      <c r="W57" s="962"/>
      <c r="X57" s="962"/>
      <c r="Y57" s="962"/>
      <c r="Z57" s="509" t="str">
        <f>IF(AND(B9&lt;&gt;"処遇加算なし",F15=4),IF(V21="✓",1,IF(V22="✓",2,"")),"")</f>
        <v/>
      </c>
      <c r="AA57" s="138"/>
      <c r="AB57" s="142"/>
      <c r="AC57" s="962" t="s">
        <v>2377</v>
      </c>
      <c r="AD57" s="962"/>
      <c r="AE57" s="962"/>
      <c r="AF57" s="962"/>
      <c r="AG57" s="962"/>
      <c r="AH57" s="404">
        <f>IF(AND(F15&lt;&gt;4,F15&lt;&gt;5),0,IF(AT8="○",1,0))</f>
        <v>0</v>
      </c>
      <c r="AI57" s="145"/>
      <c r="AJ57" s="142"/>
      <c r="AK57" s="962" t="s">
        <v>2377</v>
      </c>
      <c r="AL57" s="962"/>
      <c r="AM57" s="962"/>
      <c r="AN57" s="962"/>
      <c r="AO57" s="962"/>
      <c r="AP57" s="404">
        <f>IF(AT8="○",1,0)</f>
        <v>0</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2378</v>
      </c>
      <c r="V58" s="970"/>
      <c r="W58" s="970"/>
      <c r="X58" s="970"/>
      <c r="Y58" s="970"/>
      <c r="Z58" s="509" t="str">
        <f>IF(AND(B9&lt;&gt;"処遇加算なし",F15=4),IF(V24="✓",1,IF(V25="✓",2,IF(V26="✓",3,""))),"")</f>
        <v/>
      </c>
      <c r="AA58" s="138"/>
      <c r="AB58" s="142"/>
      <c r="AC58" s="970" t="s">
        <v>2378</v>
      </c>
      <c r="AD58" s="970"/>
      <c r="AE58" s="970"/>
      <c r="AF58" s="970"/>
      <c r="AG58" s="970"/>
      <c r="AH58" s="404">
        <f>IF(AND(F15&lt;&gt;4,F15&lt;&gt;5),0,IF(AU8="○",1,3))</f>
        <v>3</v>
      </c>
      <c r="AI58" s="145"/>
      <c r="AJ58" s="142"/>
      <c r="AK58" s="970" t="s">
        <v>2378</v>
      </c>
      <c r="AL58" s="970"/>
      <c r="AM58" s="970"/>
      <c r="AN58" s="970"/>
      <c r="AO58" s="970"/>
      <c r="AP58" s="404">
        <f>IF(AU8="○",1,3)</f>
        <v>3</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2379</v>
      </c>
      <c r="V59" s="970"/>
      <c r="W59" s="970"/>
      <c r="X59" s="970"/>
      <c r="Y59" s="970"/>
      <c r="Z59" s="509" t="str">
        <f>IF(AND(B9&lt;&gt;"処遇加算なし",F15=4),IF(V28="✓",1,IF(V29="✓",2,IF(V30="✓",3,""))),"")</f>
        <v/>
      </c>
      <c r="AA59" s="138"/>
      <c r="AB59" s="142"/>
      <c r="AC59" s="970" t="s">
        <v>2379</v>
      </c>
      <c r="AD59" s="970"/>
      <c r="AE59" s="970"/>
      <c r="AF59" s="970"/>
      <c r="AG59" s="970"/>
      <c r="AH59" s="404">
        <f>IF(AND(F15&lt;&gt;4,F15&lt;&gt;5),0,IF(AV8="○",1,3))</f>
        <v>3</v>
      </c>
      <c r="AI59" s="145"/>
      <c r="AJ59" s="142"/>
      <c r="AK59" s="970" t="s">
        <v>2379</v>
      </c>
      <c r="AL59" s="970"/>
      <c r="AM59" s="970"/>
      <c r="AN59" s="970"/>
      <c r="AO59" s="970"/>
      <c r="AP59" s="404">
        <f>IF(AV8="○",1,3)</f>
        <v>3</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2380</v>
      </c>
      <c r="V60" s="970"/>
      <c r="W60" s="970"/>
      <c r="X60" s="970"/>
      <c r="Y60" s="970"/>
      <c r="Z60" s="509" t="str">
        <f>IF(AND(B9&lt;&gt;"処遇加算なし",F15=4),IF(V32="✓",1,IF(V33="✓",2,"")),"")</f>
        <v/>
      </c>
      <c r="AA60" s="138"/>
      <c r="AB60" s="142"/>
      <c r="AC60" s="970" t="s">
        <v>2380</v>
      </c>
      <c r="AD60" s="970"/>
      <c r="AE60" s="970"/>
      <c r="AF60" s="970"/>
      <c r="AG60" s="970"/>
      <c r="AH60" s="404">
        <f>IF(AND(F15&lt;&gt;4,F15&lt;&gt;5),0,IF(AW8="○",1,3))</f>
        <v>3</v>
      </c>
      <c r="AI60" s="145"/>
      <c r="AJ60" s="142"/>
      <c r="AK60" s="970" t="s">
        <v>2380</v>
      </c>
      <c r="AL60" s="970"/>
      <c r="AM60" s="970"/>
      <c r="AN60" s="970"/>
      <c r="AO60" s="970"/>
      <c r="AP60" s="404">
        <f>IF(AW8="○",1,3)</f>
        <v>3</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2381</v>
      </c>
      <c r="V61" s="970"/>
      <c r="W61" s="970"/>
      <c r="X61" s="970"/>
      <c r="Y61" s="970"/>
      <c r="Z61" s="509" t="str">
        <f>IF(AND(B9&lt;&gt;"処遇加算なし",F15=4),IF(V36="✓",1,IF(V37="✓",2,"")),"")</f>
        <v/>
      </c>
      <c r="AA61" s="138"/>
      <c r="AB61" s="142"/>
      <c r="AC61" s="970" t="s">
        <v>2381</v>
      </c>
      <c r="AD61" s="970"/>
      <c r="AE61" s="970"/>
      <c r="AF61" s="970"/>
      <c r="AG61" s="970"/>
      <c r="AH61" s="404">
        <f>IF(AND(F15&lt;&gt;4,F15&lt;&gt;5),0,IF(AX8="○",1,2))</f>
        <v>2</v>
      </c>
      <c r="AI61" s="145"/>
      <c r="AJ61" s="142"/>
      <c r="AK61" s="970" t="s">
        <v>2381</v>
      </c>
      <c r="AL61" s="970"/>
      <c r="AM61" s="970"/>
      <c r="AN61" s="970"/>
      <c r="AO61" s="970"/>
      <c r="AP61" s="404">
        <f>IF(AX8="○",1,2)</f>
        <v>2</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2382</v>
      </c>
      <c r="V62" s="970"/>
      <c r="W62" s="970"/>
      <c r="X62" s="970"/>
      <c r="Y62" s="970"/>
      <c r="Z62" s="509" t="str">
        <f>IF(AND(B9&lt;&gt;"処遇加算なし",F15=4),IF(V40="✓",1,IF(V41="✓",2,"")),"")</f>
        <v/>
      </c>
      <c r="AA62" s="138"/>
      <c r="AB62" s="142"/>
      <c r="AC62" s="970" t="s">
        <v>2382</v>
      </c>
      <c r="AD62" s="970"/>
      <c r="AE62" s="970"/>
      <c r="AF62" s="970"/>
      <c r="AG62" s="970"/>
      <c r="AH62" s="404">
        <f>IF(AND(F15&lt;&gt;4,F15&lt;&gt;5),0,IF(AY8="○",1,2))</f>
        <v>2</v>
      </c>
      <c r="AI62" s="145"/>
      <c r="AJ62" s="142"/>
      <c r="AK62" s="970" t="s">
        <v>2382</v>
      </c>
      <c r="AL62" s="970"/>
      <c r="AM62" s="970"/>
      <c r="AN62" s="970"/>
      <c r="AO62" s="970"/>
      <c r="AP62" s="404">
        <f>IF(AY8="○",1,2)</f>
        <v>2</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2383</v>
      </c>
      <c r="V63" s="962"/>
      <c r="W63" s="962"/>
      <c r="X63" s="962"/>
      <c r="Y63" s="962"/>
      <c r="Z63" s="509" t="str">
        <f>IF(AND(B9&lt;&gt;"処遇加算なし",F15=4),IF(V44="✓",1,IF(V45="✓",2,"")),"")</f>
        <v/>
      </c>
      <c r="AA63" s="138"/>
      <c r="AB63" s="142"/>
      <c r="AC63" s="962" t="s">
        <v>2383</v>
      </c>
      <c r="AD63" s="962"/>
      <c r="AE63" s="962"/>
      <c r="AF63" s="962"/>
      <c r="AG63" s="962"/>
      <c r="AH63" s="404">
        <f>IF(AND(F15&lt;&gt;4,F15&lt;&gt;5),0,IF(AZ8="○",1,2))</f>
        <v>2</v>
      </c>
      <c r="AI63" s="145"/>
      <c r="AJ63" s="142"/>
      <c r="AK63" s="962" t="s">
        <v>2383</v>
      </c>
      <c r="AL63" s="962"/>
      <c r="AM63" s="962"/>
      <c r="AN63" s="962"/>
      <c r="AO63" s="962"/>
      <c r="AP63" s="404">
        <f>IF(AZ8="○",1,2)</f>
        <v>2</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7056F18B-84B7-439F-8615-7E2B4779ED1C}">
      <formula1>0</formula1>
    </dataValidation>
    <dataValidation type="list" allowBlank="1" showInputMessage="1" showErrorMessage="1" sqref="AL41:AP41" xr:uid="{129766A7-7B8B-4F3D-AE10-8EA51742C80C}">
      <formula1>INDIRECT(BF1)</formula1>
    </dataValidation>
    <dataValidation type="list" allowBlank="1" showInputMessage="1" showErrorMessage="1" sqref="AD41:AH41" xr:uid="{06B7E9BA-9D2D-44A8-BF69-C382AF7E9B5E}">
      <formula1>INDIRECT(BF1)</formula1>
    </dataValidation>
    <dataValidation type="textLength" operator="equal" allowBlank="1" showInputMessage="1" showErrorMessage="1" error="10桁の介護保険事業所番号を入力してください。_x000a_（桁数が異なるとエラーになります）" sqref="B5:F5" xr:uid="{BA3E0B4E-78C0-458F-9E7A-8743AC3E9BC8}">
      <formula1>10</formula1>
    </dataValidation>
    <dataValidation type="list" allowBlank="1" showInputMessage="1" showErrorMessage="1" sqref="K15:K16 D15:D16" xr:uid="{6962AA04-A73D-42AD-9E96-160FE5FC475E}">
      <formula1>"6,7"</formula1>
    </dataValidation>
    <dataValidation type="list" allowBlank="1" showInputMessage="1" showErrorMessage="1" sqref="M15:M16" xr:uid="{67E0403C-1D4B-4A57-B746-ECC7E88F0141}">
      <formula1>"1,2,3,6,7,8,9,10,11,12"</formula1>
    </dataValidation>
    <dataValidation type="list" allowBlank="1" showInputMessage="1" showErrorMessage="1" sqref="M5:O5" xr:uid="{DFE7D490-0691-41BD-BC1F-81049D688E27}">
      <formula1>INDIRECT(J5)</formula1>
    </dataValidation>
    <dataValidation type="list" allowBlank="1" showInputMessage="1" showErrorMessage="1" sqref="Y5:AD5" xr:uid="{63ACA720-B1F1-44B3-AE00-073D2ABABA8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EF1A8F5-6A67-4E1C-9B8E-C55272424ABE}">
          <x14:formula1>
            <xm:f>【参考】数式用!$B$4:$E$4</xm:f>
          </x14:formula1>
          <xm:sqref>B9:F9</xm:sqref>
        </x14:dataValidation>
        <x14:dataValidation type="list" allowBlank="1" showInputMessage="1" showErrorMessage="1" xr:uid="{B1FEDCAA-95F1-455F-93F7-38C18DC01113}">
          <x14:formula1>
            <xm:f>【参考】数式用!$F$4:$H$4</xm:f>
          </x14:formula1>
          <xm:sqref>G9</xm:sqref>
        </x14:dataValidation>
        <x14:dataValidation type="list" allowBlank="1" showInputMessage="1" showErrorMessage="1" xr:uid="{D8E8E5E9-191E-43BD-B92B-465B33742A8B}">
          <x14:formula1>
            <xm:f>【参考】数式用!$I$4:$J$4</xm:f>
          </x14:formula1>
          <xm:sqref>L9</xm:sqref>
        </x14:dataValidation>
        <x14:dataValidation type="list" allowBlank="1" showInputMessage="1" showErrorMessage="1" xr:uid="{81D733F8-2DC4-4525-BEB4-109359A5E3B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B8D3-0715-4725-901C-CB678334C2F7}">
  <sheetPr codeName="Sheet8">
    <pageSetUpPr fitToPage="1"/>
  </sheetPr>
  <dimension ref="A1:CJ73"/>
  <sheetViews>
    <sheetView showGridLines="0" view="pageBreakPreview" topLeftCell="F1" zoomScaleNormal="53" zoomScaleSheetLayoutView="100" workbookViewId="0">
      <selection activeCell="AE4" sqref="AE4:AH4"/>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2330</v>
      </c>
      <c r="O1" s="997"/>
      <c r="P1" s="997"/>
      <c r="Q1" s="997"/>
      <c r="R1" s="997"/>
      <c r="S1" s="997"/>
      <c r="T1" s="997"/>
      <c r="U1" s="997"/>
      <c r="V1" s="997"/>
      <c r="W1" s="997"/>
      <c r="X1" s="997"/>
      <c r="Y1" s="997"/>
      <c r="Z1" s="997"/>
      <c r="AA1" s="997"/>
      <c r="AB1" s="997"/>
      <c r="AC1" s="997"/>
      <c r="AD1" s="997"/>
      <c r="AE1" s="997"/>
      <c r="AF1" s="1127" t="s">
        <v>25</v>
      </c>
      <c r="AG1" s="1127"/>
      <c r="AH1" s="1127"/>
      <c r="AI1" s="1128" t="str">
        <f>IF(G5="","",G5)</f>
        <v/>
      </c>
      <c r="AJ1" s="1128"/>
      <c r="AK1" s="1128"/>
      <c r="AL1" s="1128"/>
      <c r="AM1" s="1128"/>
      <c r="AN1" s="1128"/>
      <c r="AO1" s="1128"/>
      <c r="AP1" s="1128"/>
      <c r="AS1" s="958" t="str">
        <f>B9&amp;G9&amp;L9</f>
        <v/>
      </c>
      <c r="AT1" s="959"/>
      <c r="AU1" s="959"/>
      <c r="AV1" s="959"/>
      <c r="AW1" s="959"/>
      <c r="AX1" s="959"/>
      <c r="AY1" s="959"/>
      <c r="AZ1" s="959"/>
      <c r="BA1" s="959"/>
      <c r="BB1" s="959"/>
      <c r="BC1" s="959"/>
      <c r="BD1" s="959"/>
      <c r="BE1" s="960"/>
      <c r="BF1" s="957" t="str">
        <f>IFERROR(VLOOKUP(Y5,【参考】数式用!$AH$2:$AI$34,2,FALSE),"")</f>
        <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511"/>
      <c r="AR2" s="511"/>
      <c r="CE2" s="918" t="s">
        <v>2193</v>
      </c>
      <c r="CF2" s="918"/>
      <c r="CG2" s="918"/>
      <c r="CH2" s="918"/>
      <c r="CI2" s="1132" t="str">
        <f>IF(AI1&lt;&gt;"",1,"")</f>
        <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t="str">
        <f>IF(AND(L9="ベア加算",Q49="ベア加算"),1,"")</f>
        <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t="str">
        <f>IF(OR(OR(G49="処遇加算Ⅰ",G49="処遇加算Ⅱ"),OR(AS48="処遇加算Ⅰ",AS48="処遇加算Ⅱ")),1,"")</f>
        <v/>
      </c>
      <c r="CJ4" s="917"/>
    </row>
    <row r="5" spans="1:88" ht="33" customHeight="1">
      <c r="B5" s="1027"/>
      <c r="C5" s="1027"/>
      <c r="D5" s="1027"/>
      <c r="E5" s="1027"/>
      <c r="F5" s="1027"/>
      <c r="G5" s="1028"/>
      <c r="H5" s="1028"/>
      <c r="I5" s="1028"/>
      <c r="J5" s="1029"/>
      <c r="K5" s="1029"/>
      <c r="L5" s="1029"/>
      <c r="M5" s="1030"/>
      <c r="N5" s="1030"/>
      <c r="O5" s="1030"/>
      <c r="P5" s="1138"/>
      <c r="Q5" s="1139"/>
      <c r="R5" s="1139"/>
      <c r="S5" s="1139"/>
      <c r="T5" s="1139"/>
      <c r="U5" s="1139"/>
      <c r="V5" s="1139"/>
      <c r="W5" s="1139"/>
      <c r="X5" s="1140"/>
      <c r="Y5" s="1010"/>
      <c r="Z5" s="1010"/>
      <c r="AA5" s="1010"/>
      <c r="AB5" s="1010"/>
      <c r="AC5" s="1010"/>
      <c r="AD5" s="1010"/>
      <c r="AE5" s="923"/>
      <c r="AF5" s="924"/>
      <c r="AG5" s="924"/>
      <c r="AH5" s="925"/>
      <c r="AI5" s="923"/>
      <c r="AJ5" s="924"/>
      <c r="AK5" s="924"/>
      <c r="AL5" s="925"/>
      <c r="AM5" s="926">
        <f>AE5-AI5</f>
        <v>0</v>
      </c>
      <c r="AN5" s="927"/>
      <c r="AO5" s="927"/>
      <c r="AP5" s="928"/>
      <c r="AS5" s="80"/>
      <c r="AT5" s="911"/>
      <c r="AU5" s="911"/>
      <c r="AV5" s="911"/>
      <c r="AW5" s="911"/>
      <c r="AX5" s="911"/>
      <c r="AY5" s="911"/>
      <c r="AZ5" s="911"/>
      <c r="BA5" s="81"/>
      <c r="CE5" s="918" t="s">
        <v>2186</v>
      </c>
      <c r="CF5" s="918"/>
      <c r="CG5" s="918"/>
      <c r="CH5" s="918"/>
      <c r="CI5" s="916" t="str">
        <f>IF(OR(G49="処遇加算Ⅰ",AS48="処遇加算Ⅰ"),1,"")</f>
        <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t="str">
        <f>IF(OR(AH61=1,AP61=1),1,"")</f>
        <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
      </c>
      <c r="W8" s="930"/>
      <c r="X8" s="930"/>
      <c r="Y8" s="930"/>
      <c r="Z8" s="931"/>
      <c r="AA8" s="919" t="str">
        <f>IFERROR(VLOOKUP(AS1,【参考】数式用2!E6:L23,4,FALSE),"")</f>
        <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29" t="str">
        <f>IF(OR(V8="新加算Ⅰ",V8="新加算Ⅱ",V8="新加算Ⅲ",V8="新加算Ⅴ(１)",V8="新加算Ⅴ(３)",V8="新加算Ⅴ(８)"),"○","")</f>
        <v/>
      </c>
      <c r="AX8" s="1129" t="str">
        <f>IF(OR(V8="新加算Ⅰ",V8="新加算Ⅱ",V8="新加算Ⅴ(１)",V8="新加算Ⅴ(２)",V8="新加算Ⅴ(３)",V8="新加算Ⅴ(４)",V8="新加算Ⅴ(５)",V8="新加算Ⅴ(６)",V8="新加算Ⅴ(７)",V8="新加算Ⅴ(９)",V8="新加算Ⅴ(10)",V8="新加算Ⅴ(12)"),"○","")</f>
        <v/>
      </c>
      <c r="AY8" s="1129" t="str">
        <f>IF(OR(V8="新加算Ⅰ",V8="新加算Ⅴ(１)",V8="新加算Ⅴ(２)",V8="新加算Ⅴ(５)",V8="新加算Ⅴ(７)",V8="新加算Ⅴ(10)"),"○","")</f>
        <v/>
      </c>
      <c r="AZ8" s="1129" t="str">
        <f>IF(OR(V8="新加算Ⅰ",V8="新加算Ⅱ",V8="新加算Ⅴ(１)",V8="新加算Ⅴ(２)",V8="新加算Ⅴ(３)",V8="新加算Ⅴ(４)",V8="新加算Ⅴ(５)",V8="新加算Ⅴ(６)",V8="新加算Ⅴ(７)",V8="新加算Ⅴ(９)",V8="新加算Ⅴ(10)",V8="新加算Ⅴ(12)"),"○","")</f>
        <v/>
      </c>
      <c r="BA8" s="81"/>
      <c r="CE8" s="1136" t="s">
        <v>2188</v>
      </c>
      <c r="CF8" s="1136"/>
      <c r="CG8" s="1136"/>
      <c r="CH8" s="1136"/>
      <c r="CI8" s="916" t="str">
        <f>IF(AND(AP62=1,AL41=""),1,"")</f>
        <v/>
      </c>
      <c r="CJ8" s="917"/>
    </row>
    <row r="9" spans="1:88" ht="26.25" customHeight="1">
      <c r="B9" s="1048"/>
      <c r="C9" s="1049"/>
      <c r="D9" s="1049"/>
      <c r="E9" s="1049"/>
      <c r="F9" s="1050"/>
      <c r="G9" s="1051"/>
      <c r="H9" s="1052"/>
      <c r="I9" s="1052"/>
      <c r="J9" s="1052"/>
      <c r="K9" s="1053"/>
      <c r="L9" s="1054"/>
      <c r="M9" s="1055"/>
      <c r="N9" s="1055"/>
      <c r="O9" s="1055"/>
      <c r="P9" s="1056"/>
      <c r="Q9" s="1031" t="s">
        <v>2052</v>
      </c>
      <c r="R9" s="1032"/>
      <c r="S9" s="1032"/>
      <c r="T9" s="945"/>
      <c r="U9" s="946"/>
      <c r="V9" s="932" t="str">
        <f>IFERROR(VLOOKUP(Y5,【参考】数式用!$A$5:$AB$37,MATCH(V8,【参考】数式用!$B$4:$AB$4,0)+1,FALSE),"")</f>
        <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t="str">
        <f>IF(OR(AH62=1,AP62=1),1,"")</f>
        <v/>
      </c>
      <c r="CJ9" s="917"/>
    </row>
    <row r="10" spans="1:88" ht="11.25" customHeight="1">
      <c r="B10" s="1057" t="str">
        <f>IFERROR(VLOOKUP(Y5,【参考】数式用!$A$5:$J$37,MATCH(B9,【参考】数式用!$B$4:$J$4,0)+1,0),"")</f>
        <v/>
      </c>
      <c r="C10" s="1058"/>
      <c r="D10" s="1058"/>
      <c r="E10" s="1058"/>
      <c r="F10" s="1059"/>
      <c r="G10" s="1057" t="str">
        <f>IFERROR(VLOOKUP(Y5,【参考】数式用!$A$5:$J$37,MATCH(G9,【参考】数式用!$B$4:$J$4,0)+1,0),"")</f>
        <v/>
      </c>
      <c r="H10" s="1058"/>
      <c r="I10" s="1058"/>
      <c r="J10" s="1058"/>
      <c r="K10" s="1059"/>
      <c r="L10" s="1063" t="str">
        <f>IFERROR(VLOOKUP(Y5,【参考】数式用!$A$5:$J$37,MATCH(L9,【参考】数式用!$B$4:$J$4,0)+1,0),"")</f>
        <v/>
      </c>
      <c r="M10" s="1064"/>
      <c r="N10" s="1064"/>
      <c r="O10" s="1064"/>
      <c r="P10" s="1065"/>
      <c r="Q10" s="1069">
        <f>SUM(B10,G10,L10)</f>
        <v>0</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0</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
      </c>
      <c r="W11" s="999"/>
      <c r="X11" s="999"/>
      <c r="Y11" s="999"/>
      <c r="Z11" s="999"/>
      <c r="AA11" s="919" t="str">
        <f>IFERROR(VLOOKUP(AS1,【参考】数式用2!E6:L23,6,FALSE),"")</f>
        <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29" t="str">
        <f>IF(OR(V11="新加算Ⅰ",V11="新加算Ⅱ",V11="新加算Ⅲ",V11="新加算Ⅴ(１)",V11="新加算Ⅴ(３)",V11="新加算Ⅴ(８)"),"○","")</f>
        <v/>
      </c>
      <c r="AX11" s="1129" t="str">
        <f>IF(OR(V11="新加算Ⅰ",V11="新加算Ⅱ",V11="新加算Ⅴ(１)",V11="新加算Ⅴ(２)",V11="新加算Ⅴ(３)",V11="新加算Ⅴ(４)",V11="新加算Ⅴ(５)",V11="新加算Ⅴ(６)",V11="新加算Ⅴ(７)",V11="新加算Ⅴ(９)",V11="新加算Ⅴ(10)",V11="新加算Ⅴ(12)"),"○","")</f>
        <v/>
      </c>
      <c r="AY11" s="1129" t="str">
        <f>IF(OR(V11="新加算Ⅰ",V11="新加算Ⅴ(１)",V11="新加算Ⅴ(２)",V11="新加算Ⅴ(５)",V11="新加算Ⅴ(７)",V11="新加算Ⅴ(10)"),"○","")</f>
        <v/>
      </c>
      <c r="AZ11" s="1129" t="str">
        <f>IF(OR(V11="新加算Ⅰ",V11="新加算Ⅱ",V11="新加算Ⅴ(１)",V11="新加算Ⅴ(２)",V11="新加算Ⅴ(３)",V11="新加算Ⅴ(４)",V11="新加算Ⅴ(５)",V11="新加算Ⅴ(６)",V11="新加算Ⅴ(７)",V11="新加算Ⅴ(９)",V11="新加算Ⅴ(10)",V11="新加算Ⅴ(12)"),"○","")</f>
        <v/>
      </c>
      <c r="BA11" s="97"/>
    </row>
    <row r="12" spans="1:88" ht="25.5" customHeight="1" thickBot="1">
      <c r="A12" s="75"/>
      <c r="B12" s="102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26"/>
      <c r="D12" s="1026"/>
      <c r="E12" s="1026"/>
      <c r="F12" s="1026"/>
      <c r="G12" s="1026"/>
      <c r="H12" s="1026"/>
      <c r="I12" s="1026"/>
      <c r="J12" s="1026"/>
      <c r="K12" s="1026"/>
      <c r="L12" s="1026"/>
      <c r="M12" s="1026"/>
      <c r="N12" s="1026"/>
      <c r="O12" s="1026"/>
      <c r="P12" s="1026"/>
      <c r="Q12" s="1026"/>
      <c r="R12" s="1026"/>
      <c r="S12" s="1026"/>
      <c r="T12" s="956"/>
      <c r="U12" s="946"/>
      <c r="V12" s="1137" t="str">
        <f>IFERROR(VLOOKUP(Y5,【参考】数式用!$A$5:$AB$37,MATCH(V11,【参考】数式用!$B$4:$AB$4,0)+1,FALSE),"")</f>
        <v/>
      </c>
      <c r="W12" s="1137"/>
      <c r="X12" s="1137"/>
      <c r="Y12" s="1137"/>
      <c r="Z12" s="1137"/>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508"/>
      <c r="V14" s="999" t="str">
        <f>IFERROR(IF(VLOOKUP(AS1,【参考】数式用2!E6:L23,7,FALSE)="","",VLOOKUP(AS1,【参考】数式用2!E6:L23,7,FALSE)),"")</f>
        <v/>
      </c>
      <c r="W14" s="999"/>
      <c r="X14" s="999"/>
      <c r="Y14" s="999"/>
      <c r="Z14" s="999"/>
      <c r="AA14" s="948" t="str">
        <f>IFERROR(VLOOKUP(AS1,【参考】数式用2!E6:L23,8,FALSE),"")</f>
        <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54">
        <v>6</v>
      </c>
      <c r="E15" s="512" t="s">
        <v>2111</v>
      </c>
      <c r="F15" s="54">
        <v>4</v>
      </c>
      <c r="G15" s="512" t="s">
        <v>2112</v>
      </c>
      <c r="H15" s="983" t="s">
        <v>2113</v>
      </c>
      <c r="I15" s="983"/>
      <c r="J15" s="996"/>
      <c r="K15" s="54">
        <v>7</v>
      </c>
      <c r="L15" s="512" t="s">
        <v>2111</v>
      </c>
      <c r="M15" s="54">
        <v>3</v>
      </c>
      <c r="N15" s="512" t="s">
        <v>2112</v>
      </c>
      <c r="O15" s="512" t="s">
        <v>2114</v>
      </c>
      <c r="P15" s="99">
        <f>(K15*12+M15)-(D15*12+F15)+1</f>
        <v>12</v>
      </c>
      <c r="Q15" s="983" t="s">
        <v>2115</v>
      </c>
      <c r="R15" s="983"/>
      <c r="S15" s="100" t="s">
        <v>69</v>
      </c>
      <c r="U15" s="508"/>
      <c r="V15" s="984" t="str">
        <f>IFERROR(VLOOKUP(Y5,【参考】数式用!$A$5:$AB$37,MATCH(V14,【参考】数式用!$B$4:$AB$4,0)+1,FALSE),"")</f>
        <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508"/>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510"/>
      <c r="U17" s="510"/>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513" t="str">
        <f>IFERROR(IF(L9="ベア加算","✓",""),"")</f>
        <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513" t="str">
        <f>IFERROR(IF(OR(B9="処遇加算Ⅰ",B9="処遇加算Ⅱ"),"✓",""),"")</f>
        <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513" t="str">
        <f>IFERROR(IF(B9="処遇加算Ⅲ","✓",""),"")</f>
        <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513"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513" t="str">
        <f>IFERROR(IF(OR(B9="処遇加算Ⅰ",B9="処遇加算Ⅱ"),"✓",""),"")</f>
        <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513" t="str">
        <f>IFERROR(IF(B9="処遇加算Ⅲ","✓",""),"")</f>
        <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513"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513" t="str">
        <f>IFERROR(IF(B9="処遇加算Ⅰ","✓",""),"")</f>
        <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513" t="str">
        <f>IFERROR(IF(AND(B9&lt;&gt;"",B9&lt;&gt;"処遇加算Ⅰ"),"✓",""),"")</f>
        <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513" t="str">
        <f>IFERROR(IF(OR(G9="特定加算Ⅰ",G9="特定加算Ⅱ"),"✓",""),"")</f>
        <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513" t="str">
        <f>IFERROR(IF(G9="特定加算なし","✓",""),"")</f>
        <v/>
      </c>
      <c r="W37" s="977" t="s">
        <v>15</v>
      </c>
      <c r="X37" s="978"/>
      <c r="Y37" s="978"/>
      <c r="Z37" s="979"/>
      <c r="AA37" s="945"/>
      <c r="AB37" s="946"/>
      <c r="AC37" s="971" t="s">
        <v>2176</v>
      </c>
      <c r="AD37" s="972"/>
      <c r="AE37" s="972"/>
      <c r="AF37" s="972"/>
      <c r="AG37" s="973"/>
      <c r="AH37" s="974"/>
      <c r="AI37" s="945"/>
      <c r="AJ37" s="946"/>
      <c r="AK37" s="971" t="s">
        <v>2176</v>
      </c>
      <c r="AL37" s="972"/>
      <c r="AM37" s="972"/>
      <c r="AN37" s="972"/>
      <c r="AO37" s="973"/>
      <c r="AP37" s="974"/>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c>
      <c r="H40" s="1001"/>
      <c r="I40" s="1001"/>
      <c r="J40" s="1001"/>
      <c r="K40" s="1001"/>
      <c r="L40" s="1001"/>
      <c r="M40" s="1001"/>
      <c r="N40" s="1001"/>
      <c r="O40" s="1001"/>
      <c r="P40" s="1001"/>
      <c r="Q40" s="1001"/>
      <c r="R40" s="1001"/>
      <c r="S40" s="1001"/>
      <c r="T40" s="1002"/>
      <c r="U40" s="89"/>
      <c r="V40" s="513" t="str">
        <f>IFERROR(IF(G9="特定加算Ⅰ","✓",""),"")</f>
        <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513" t="str">
        <f>IFERROR(IF(OR(G9="特定加算Ⅱ",G9="特定加算なし"),"✓",""),"")</f>
        <v/>
      </c>
      <c r="W41" s="977" t="s">
        <v>15</v>
      </c>
      <c r="X41" s="978"/>
      <c r="Y41" s="978"/>
      <c r="Z41" s="979"/>
      <c r="AA41" s="945"/>
      <c r="AB41" s="946"/>
      <c r="AC41" s="127" t="s">
        <v>83</v>
      </c>
      <c r="AD41" s="1084"/>
      <c r="AE41" s="1085"/>
      <c r="AF41" s="1085"/>
      <c r="AG41" s="1085"/>
      <c r="AH41" s="1086"/>
      <c r="AI41" s="945"/>
      <c r="AJ41" s="946"/>
      <c r="AK41" s="127" t="s">
        <v>83</v>
      </c>
      <c r="AL41" s="1084"/>
      <c r="AM41" s="1085"/>
      <c r="AN41" s="1085"/>
      <c r="AO41" s="1085"/>
      <c r="AP41" s="1086"/>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510"/>
      <c r="AB42" s="510"/>
      <c r="AC42" s="129"/>
      <c r="AD42" s="955" t="s">
        <v>15</v>
      </c>
      <c r="AE42" s="955"/>
      <c r="AF42" s="955"/>
      <c r="AG42" s="955"/>
      <c r="AH42" s="955"/>
      <c r="AI42" s="510"/>
      <c r="AJ42" s="510"/>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2375</v>
      </c>
      <c r="H44" s="1001"/>
      <c r="I44" s="1001"/>
      <c r="J44" s="1001"/>
      <c r="K44" s="1001"/>
      <c r="L44" s="1001"/>
      <c r="M44" s="1001"/>
      <c r="N44" s="1001"/>
      <c r="O44" s="1001"/>
      <c r="P44" s="1001"/>
      <c r="Q44" s="1001"/>
      <c r="R44" s="1001"/>
      <c r="S44" s="1001"/>
      <c r="T44" s="1002"/>
      <c r="U44" s="112"/>
      <c r="V44" s="513" t="str">
        <f>IFERROR(IF(OR(G9="特定加算Ⅰ",G9="特定加算Ⅱ"),"✓",""),"")</f>
        <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513" t="str">
        <f>IFERROR(IF(G9="特定加算なし","✓",""),"")</f>
        <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
      </c>
      <c r="AT48" s="964"/>
      <c r="AU48" s="964"/>
      <c r="AV48" s="964"/>
      <c r="AW48" s="965" t="str">
        <f>IFERROR(IF(AND(AP61=1,AP62=1,AP63=1),"特定加算Ⅰ",IF(AND(AP61=1,AP62=2,AP63=1),"特定加算Ⅱ",IF(OR(AP61=2,AP62=2,AP63=2),"特定加算なし",""))),"")</f>
        <v>特定加算なし</v>
      </c>
      <c r="AX48" s="965"/>
      <c r="AY48" s="965"/>
      <c r="AZ48" s="965"/>
      <c r="BA48" s="964" t="str">
        <f>IFERROR(IF(OR(L9="ベア加算",AP57=1),"ベア加算",IF(AP57=2,"ベア加算なし","")),"")</f>
        <v/>
      </c>
      <c r="BB48" s="964"/>
      <c r="BC48" s="964"/>
      <c r="BD48" s="964"/>
      <c r="BE48" s="966" t="str">
        <f>AS48&amp;AW48&amp;BA48</f>
        <v>特定加算なし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
      </c>
      <c r="H49" s="1088"/>
      <c r="I49" s="1088"/>
      <c r="J49" s="1088"/>
      <c r="K49" s="1113"/>
      <c r="L49" s="1118" t="str">
        <f>IFERROR(IF(G9="","",IF(AND(AH61=1,AH62=1,AH63=1),"特定加算Ⅰ",IF(AND(AH61=1,AH62=2,AH63=1),"特定加算Ⅱ",IF(OR(AH61=2,AH62=2,AH63=2),"特定加算なし","")))),"")</f>
        <v/>
      </c>
      <c r="M49" s="1119"/>
      <c r="N49" s="1119"/>
      <c r="O49" s="1119"/>
      <c r="P49" s="1120"/>
      <c r="Q49" s="1087" t="str">
        <f>IFERROR(IF(OR(L9="ベア加算",AND(L9="ベア加算なし",AH57=1)),"ベア加算",IF(AH57=2,"ベア加算なし","")),"")</f>
        <v/>
      </c>
      <c r="R49" s="1088"/>
      <c r="S49" s="1088"/>
      <c r="T49" s="1088"/>
      <c r="U49" s="1089"/>
      <c r="V49" s="1090" t="s">
        <v>10</v>
      </c>
      <c r="W49" s="1091"/>
      <c r="X49" s="1091"/>
      <c r="Y49" s="1091"/>
      <c r="Z49" s="1091"/>
      <c r="AA49" s="956"/>
      <c r="AB49" s="956"/>
      <c r="AC49" s="1097" t="str">
        <f>IFERROR(VLOOKUP(BE48,【参考】数式用2!E6:F23,2,FALSE),"")</f>
        <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t="str">
        <f>IFERROR(VLOOKUP(Y5,【参考】数式用!$A$5:$J$37,MATCH(G49,【参考】数式用!$B$4:$J$4,0)+1,0),"")</f>
        <v/>
      </c>
      <c r="H50" s="1101"/>
      <c r="I50" s="1101"/>
      <c r="J50" s="1101"/>
      <c r="K50" s="1102"/>
      <c r="L50" s="1103" t="str">
        <f>IFERROR(VLOOKUP(Y5,【参考】数式用!$A$5:$J$37,MATCH(L49,【参考】数式用!$B$4:$J$4,0)+1,0),"")</f>
        <v/>
      </c>
      <c r="M50" s="1104"/>
      <c r="N50" s="1104"/>
      <c r="O50" s="1104"/>
      <c r="P50" s="1105"/>
      <c r="Q50" s="1106" t="str">
        <f>IFERROR(VLOOKUP(Y5,【参考】数式用!$A$5:$J$37,MATCH(Q49,【参考】数式用!$B$4:$J$4,0)+1,0),"")</f>
        <v/>
      </c>
      <c r="R50" s="1101"/>
      <c r="S50" s="1101"/>
      <c r="T50" s="1101"/>
      <c r="U50" s="1107"/>
      <c r="V50" s="1069">
        <f>SUM(G50,L50,Q50)</f>
        <v>0</v>
      </c>
      <c r="W50" s="1070"/>
      <c r="X50" s="1070"/>
      <c r="Y50" s="1070"/>
      <c r="Z50" s="1070"/>
      <c r="AA50" s="956"/>
      <c r="AB50" s="956"/>
      <c r="AC50" s="1108" t="str">
        <f>IFERROR(VLOOKUP(Y5,【参考】数式用!$A$5:$AB$37,MATCH(AC49,【参考】数式用!$B$4:$AB$4,0)+1,FALSE),"")</f>
        <v/>
      </c>
      <c r="AD50" s="1109"/>
      <c r="AE50" s="1109"/>
      <c r="AF50" s="1109"/>
      <c r="AG50" s="1109"/>
      <c r="AH50" s="1110"/>
      <c r="AS50" s="962" t="s">
        <v>2047</v>
      </c>
      <c r="AT50" s="962"/>
      <c r="AU50" s="962"/>
      <c r="AV50" s="962"/>
      <c r="AW50" s="962" t="s">
        <v>2048</v>
      </c>
      <c r="AX50" s="962"/>
      <c r="AY50" s="962"/>
      <c r="AZ50" s="962"/>
      <c r="BA50" s="962" t="s">
        <v>13</v>
      </c>
      <c r="BB50" s="962"/>
      <c r="BC50" s="962"/>
      <c r="BD50" s="962"/>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t="str">
        <f>IFERROR(ROUNDDOWN(ROUND(AM5*G50,0),0)*H53,"")</f>
        <v/>
      </c>
      <c r="H51" s="1016"/>
      <c r="I51" s="1016"/>
      <c r="J51" s="1016"/>
      <c r="K51" s="55" t="s">
        <v>2117</v>
      </c>
      <c r="L51" s="1013" t="str">
        <f>IFERROR(ROUNDDOWN(ROUND(AM5*L50,0),0)*H53,"")</f>
        <v/>
      </c>
      <c r="M51" s="1014"/>
      <c r="N51" s="1014"/>
      <c r="O51" s="1014"/>
      <c r="P51" s="55" t="s">
        <v>2117</v>
      </c>
      <c r="Q51" s="1015" t="str">
        <f>IFERROR(ROUNDDOWN(ROUND(AM5*Q50,0),0)*H53,"")</f>
        <v/>
      </c>
      <c r="R51" s="1016"/>
      <c r="S51" s="1016"/>
      <c r="T51" s="1016"/>
      <c r="U51" s="56" t="s">
        <v>2117</v>
      </c>
      <c r="V51" s="1116">
        <f>IFERROR(SUM(G51,L51,Q51),"")</f>
        <v>0</v>
      </c>
      <c r="W51" s="1117"/>
      <c r="X51" s="1117"/>
      <c r="Y51" s="1117"/>
      <c r="Z51" s="57" t="s">
        <v>2117</v>
      </c>
      <c r="AB51" s="58"/>
      <c r="AC51" s="1015" t="str">
        <f>IFERROR(ROUNDDOWN(ROUND(AM5*AC50,0),0)*AD53,"")</f>
        <v/>
      </c>
      <c r="AD51" s="1016"/>
      <c r="AE51" s="1016"/>
      <c r="AF51" s="1016"/>
      <c r="AG51" s="1016"/>
      <c r="AH51" s="56" t="s">
        <v>2117</v>
      </c>
      <c r="AS51" s="967" t="str">
        <f>IFERROR(ROUNDDOWN(ROUND(AM5*(G50-B10),0),0)*H53,"")</f>
        <v/>
      </c>
      <c r="AT51" s="967"/>
      <c r="AU51" s="967"/>
      <c r="AV51" s="967"/>
      <c r="AW51" s="967" t="str">
        <f>IFERROR(ROUNDDOWN(ROUND(AM5*(L50-G10),0),0)*H53,"")</f>
        <v/>
      </c>
      <c r="AX51" s="967"/>
      <c r="AY51" s="967"/>
      <c r="AZ51" s="967"/>
      <c r="BA51" s="967" t="str">
        <f>IFERROR(ROUNDDOWN(ROUND(AM5*(Q50-L10),0),0)*H53,"")</f>
        <v/>
      </c>
      <c r="BB51" s="967"/>
      <c r="BC51" s="967"/>
      <c r="BD51" s="967"/>
      <c r="BE51" s="967" t="str">
        <f>IFERROR(ROUNDDOWN(ROUND(AM5*(AC50-Q10),0),0)*AD53,"")</f>
        <v/>
      </c>
      <c r="BF51" s="967"/>
      <c r="BG51" s="967"/>
      <c r="BH51" s="967"/>
      <c r="BI51" s="967">
        <f>SUM(AS51:BH51)</f>
        <v>0</v>
      </c>
      <c r="BJ51" s="967"/>
      <c r="BK51" s="967"/>
      <c r="BL51" s="967"/>
      <c r="BM51" s="134"/>
      <c r="BN51" s="967" t="str">
        <f>IFERROR(ROUNDDOWN(ROUNDDOWN(ROUND(AM5*(VLOOKUP(Y5,【参考】数式用!$A$5:$AB$37,14,FALSE)),0),0)*AD53*0.5,0),"")</f>
        <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
      </c>
      <c r="H52" s="1012"/>
      <c r="I52" s="1012"/>
      <c r="J52" s="1012"/>
      <c r="K52" s="1012"/>
      <c r="L52" s="1114" t="str">
        <f>IFERROR("("&amp;TEXT(L51/H53,"#,##0円")&amp;"/月)","")</f>
        <v/>
      </c>
      <c r="M52" s="1115"/>
      <c r="N52" s="1115"/>
      <c r="O52" s="1115"/>
      <c r="P52" s="1011"/>
      <c r="Q52" s="1012" t="str">
        <f>IFERROR("("&amp;TEXT(Q51/H53,"#,##0円")&amp;"/月)","")</f>
        <v/>
      </c>
      <c r="R52" s="1012"/>
      <c r="S52" s="1012"/>
      <c r="T52" s="1012"/>
      <c r="U52" s="1012"/>
      <c r="V52" s="1012" t="str">
        <f>IFERROR("("&amp;TEXT(V51/H53,"#,##0円")&amp;"/月)","")</f>
        <v>(0円/月)</v>
      </c>
      <c r="W52" s="1012"/>
      <c r="X52" s="1012"/>
      <c r="Y52" s="1012"/>
      <c r="Z52" s="1012"/>
      <c r="AB52" s="58"/>
      <c r="AC52" s="1114" t="str">
        <f>IFERROR("("&amp;TEXT(AC51/AD53,"#,##0円")&amp;"/月)","")</f>
        <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2376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2377</v>
      </c>
      <c r="V57" s="962"/>
      <c r="W57" s="962"/>
      <c r="X57" s="962"/>
      <c r="Y57" s="962"/>
      <c r="Z57" s="509" t="str">
        <f>IF(AND(B9&lt;&gt;"処遇加算なし",F15=4),IF(V21="✓",1,IF(V22="✓",2,"")),"")</f>
        <v/>
      </c>
      <c r="AA57" s="138"/>
      <c r="AB57" s="142"/>
      <c r="AC57" s="962" t="s">
        <v>2377</v>
      </c>
      <c r="AD57" s="962"/>
      <c r="AE57" s="962"/>
      <c r="AF57" s="962"/>
      <c r="AG57" s="962"/>
      <c r="AH57" s="404">
        <f>IF(AND(F15&lt;&gt;4,F15&lt;&gt;5),0,IF(AT8="○",1,0))</f>
        <v>0</v>
      </c>
      <c r="AI57" s="145"/>
      <c r="AJ57" s="142"/>
      <c r="AK57" s="962" t="s">
        <v>2377</v>
      </c>
      <c r="AL57" s="962"/>
      <c r="AM57" s="962"/>
      <c r="AN57" s="962"/>
      <c r="AO57" s="962"/>
      <c r="AP57" s="404">
        <f>IF(AT8="○",1,0)</f>
        <v>0</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2378</v>
      </c>
      <c r="V58" s="970"/>
      <c r="W58" s="970"/>
      <c r="X58" s="970"/>
      <c r="Y58" s="970"/>
      <c r="Z58" s="509" t="str">
        <f>IF(AND(B9&lt;&gt;"処遇加算なし",F15=4),IF(V24="✓",1,IF(V25="✓",2,IF(V26="✓",3,""))),"")</f>
        <v/>
      </c>
      <c r="AA58" s="138"/>
      <c r="AB58" s="142"/>
      <c r="AC58" s="970" t="s">
        <v>2378</v>
      </c>
      <c r="AD58" s="970"/>
      <c r="AE58" s="970"/>
      <c r="AF58" s="970"/>
      <c r="AG58" s="970"/>
      <c r="AH58" s="404">
        <f>IF(AND(F15&lt;&gt;4,F15&lt;&gt;5),0,IF(AU8="○",1,3))</f>
        <v>3</v>
      </c>
      <c r="AI58" s="145"/>
      <c r="AJ58" s="142"/>
      <c r="AK58" s="970" t="s">
        <v>2378</v>
      </c>
      <c r="AL58" s="970"/>
      <c r="AM58" s="970"/>
      <c r="AN58" s="970"/>
      <c r="AO58" s="970"/>
      <c r="AP58" s="404">
        <f>IF(AU8="○",1,3)</f>
        <v>3</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2379</v>
      </c>
      <c r="V59" s="970"/>
      <c r="W59" s="970"/>
      <c r="X59" s="970"/>
      <c r="Y59" s="970"/>
      <c r="Z59" s="509" t="str">
        <f>IF(AND(B9&lt;&gt;"処遇加算なし",F15=4),IF(V28="✓",1,IF(V29="✓",2,IF(V30="✓",3,""))),"")</f>
        <v/>
      </c>
      <c r="AA59" s="138"/>
      <c r="AB59" s="142"/>
      <c r="AC59" s="970" t="s">
        <v>2379</v>
      </c>
      <c r="AD59" s="970"/>
      <c r="AE59" s="970"/>
      <c r="AF59" s="970"/>
      <c r="AG59" s="970"/>
      <c r="AH59" s="404">
        <f>IF(AND(F15&lt;&gt;4,F15&lt;&gt;5),0,IF(AV8="○",1,3))</f>
        <v>3</v>
      </c>
      <c r="AI59" s="145"/>
      <c r="AJ59" s="142"/>
      <c r="AK59" s="970" t="s">
        <v>2379</v>
      </c>
      <c r="AL59" s="970"/>
      <c r="AM59" s="970"/>
      <c r="AN59" s="970"/>
      <c r="AO59" s="970"/>
      <c r="AP59" s="404">
        <f>IF(AV8="○",1,3)</f>
        <v>3</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2380</v>
      </c>
      <c r="V60" s="970"/>
      <c r="W60" s="970"/>
      <c r="X60" s="970"/>
      <c r="Y60" s="970"/>
      <c r="Z60" s="509" t="str">
        <f>IF(AND(B9&lt;&gt;"処遇加算なし",F15=4),IF(V32="✓",1,IF(V33="✓",2,"")),"")</f>
        <v/>
      </c>
      <c r="AA60" s="138"/>
      <c r="AB60" s="142"/>
      <c r="AC60" s="970" t="s">
        <v>2380</v>
      </c>
      <c r="AD60" s="970"/>
      <c r="AE60" s="970"/>
      <c r="AF60" s="970"/>
      <c r="AG60" s="970"/>
      <c r="AH60" s="404">
        <f>IF(AND(F15&lt;&gt;4,F15&lt;&gt;5),0,IF(AW8="○",1,3))</f>
        <v>3</v>
      </c>
      <c r="AI60" s="145"/>
      <c r="AJ60" s="142"/>
      <c r="AK60" s="970" t="s">
        <v>2380</v>
      </c>
      <c r="AL60" s="970"/>
      <c r="AM60" s="970"/>
      <c r="AN60" s="970"/>
      <c r="AO60" s="970"/>
      <c r="AP60" s="404">
        <f>IF(AW8="○",1,3)</f>
        <v>3</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2381</v>
      </c>
      <c r="V61" s="970"/>
      <c r="W61" s="970"/>
      <c r="X61" s="970"/>
      <c r="Y61" s="970"/>
      <c r="Z61" s="509" t="str">
        <f>IF(AND(B9&lt;&gt;"処遇加算なし",F15=4),IF(V36="✓",1,IF(V37="✓",2,"")),"")</f>
        <v/>
      </c>
      <c r="AA61" s="138"/>
      <c r="AB61" s="142"/>
      <c r="AC61" s="970" t="s">
        <v>2381</v>
      </c>
      <c r="AD61" s="970"/>
      <c r="AE61" s="970"/>
      <c r="AF61" s="970"/>
      <c r="AG61" s="970"/>
      <c r="AH61" s="404">
        <f>IF(AND(F15&lt;&gt;4,F15&lt;&gt;5),0,IF(AX8="○",1,2))</f>
        <v>2</v>
      </c>
      <c r="AI61" s="145"/>
      <c r="AJ61" s="142"/>
      <c r="AK61" s="970" t="s">
        <v>2381</v>
      </c>
      <c r="AL61" s="970"/>
      <c r="AM61" s="970"/>
      <c r="AN61" s="970"/>
      <c r="AO61" s="970"/>
      <c r="AP61" s="404">
        <f>IF(AX8="○",1,2)</f>
        <v>2</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2382</v>
      </c>
      <c r="V62" s="970"/>
      <c r="W62" s="970"/>
      <c r="X62" s="970"/>
      <c r="Y62" s="970"/>
      <c r="Z62" s="509" t="str">
        <f>IF(AND(B9&lt;&gt;"処遇加算なし",F15=4),IF(V40="✓",1,IF(V41="✓",2,"")),"")</f>
        <v/>
      </c>
      <c r="AA62" s="138"/>
      <c r="AB62" s="142"/>
      <c r="AC62" s="970" t="s">
        <v>2382</v>
      </c>
      <c r="AD62" s="970"/>
      <c r="AE62" s="970"/>
      <c r="AF62" s="970"/>
      <c r="AG62" s="970"/>
      <c r="AH62" s="404">
        <f>IF(AND(F15&lt;&gt;4,F15&lt;&gt;5),0,IF(AY8="○",1,2))</f>
        <v>2</v>
      </c>
      <c r="AI62" s="145"/>
      <c r="AJ62" s="142"/>
      <c r="AK62" s="970" t="s">
        <v>2382</v>
      </c>
      <c r="AL62" s="970"/>
      <c r="AM62" s="970"/>
      <c r="AN62" s="970"/>
      <c r="AO62" s="970"/>
      <c r="AP62" s="404">
        <f>IF(AY8="○",1,2)</f>
        <v>2</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2383</v>
      </c>
      <c r="V63" s="962"/>
      <c r="W63" s="962"/>
      <c r="X63" s="962"/>
      <c r="Y63" s="962"/>
      <c r="Z63" s="509" t="str">
        <f>IF(AND(B9&lt;&gt;"処遇加算なし",F15=4),IF(V44="✓",1,IF(V45="✓",2,"")),"")</f>
        <v/>
      </c>
      <c r="AA63" s="138"/>
      <c r="AB63" s="142"/>
      <c r="AC63" s="962" t="s">
        <v>2383</v>
      </c>
      <c r="AD63" s="962"/>
      <c r="AE63" s="962"/>
      <c r="AF63" s="962"/>
      <c r="AG63" s="962"/>
      <c r="AH63" s="404">
        <f>IF(AND(F15&lt;&gt;4,F15&lt;&gt;5),0,IF(AZ8="○",1,2))</f>
        <v>2</v>
      </c>
      <c r="AI63" s="145"/>
      <c r="AJ63" s="142"/>
      <c r="AK63" s="962" t="s">
        <v>2383</v>
      </c>
      <c r="AL63" s="962"/>
      <c r="AM63" s="962"/>
      <c r="AN63" s="962"/>
      <c r="AO63" s="962"/>
      <c r="AP63" s="404">
        <f>IF(AZ8="○",1,2)</f>
        <v>2</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507DF370-01D7-490B-940F-F89D9CC39D27}">
      <formula1>サービス名</formula1>
    </dataValidation>
    <dataValidation type="list" allowBlank="1" showInputMessage="1" showErrorMessage="1" sqref="M5:O5" xr:uid="{731D4E50-FBC0-459F-94C0-5F2FDF5D8BA9}">
      <formula1>INDIRECT(J5)</formula1>
    </dataValidation>
    <dataValidation type="list" allowBlank="1" showInputMessage="1" showErrorMessage="1" sqref="M15:M16" xr:uid="{F7F7CE89-10A2-40F8-BA42-A7CA77CA933F}">
      <formula1>"1,2,3,6,7,8,9,10,11,12"</formula1>
    </dataValidation>
    <dataValidation type="list" allowBlank="1" showInputMessage="1" showErrorMessage="1" sqref="K15:K16 D15:D16" xr:uid="{3B3EEF1F-DE57-48BA-A705-BB3DCC5C4F10}">
      <formula1>"6,7"</formula1>
    </dataValidation>
    <dataValidation type="textLength" operator="equal" allowBlank="1" showInputMessage="1" showErrorMessage="1" error="10桁の介護保険事業所番号を入力してください。_x000a_（桁数が異なるとエラーになります）" sqref="B5:F5" xr:uid="{CA2F8C5A-BEC8-4294-A8A3-53869DB35C9F}">
      <formula1>10</formula1>
    </dataValidation>
    <dataValidation type="list" allowBlank="1" showInputMessage="1" showErrorMessage="1" sqref="AD41:AH41" xr:uid="{A8659C71-E6A2-4BCB-AF3E-7890091D54CF}">
      <formula1>INDIRECT(BF1)</formula1>
    </dataValidation>
    <dataValidation type="list" allowBlank="1" showInputMessage="1" showErrorMessage="1" sqref="AL41:AP41" xr:uid="{42792985-CC1B-443C-8964-275084D08F3F}">
      <formula1>INDIRECT(BF1)</formula1>
    </dataValidation>
    <dataValidation type="whole" operator="greaterThanOrEqual" allowBlank="1" showInputMessage="1" showErrorMessage="1" prompt="要件を満たす職員数を記入してください。" sqref="AG37:AH37 AO37:AP37" xr:uid="{4C2E9202-A079-4CEC-B91C-E16FD3D6A12B}">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9BF9677-C063-4D68-B8FB-A6AAA8FEFF56}">
          <x14:formula1>
            <xm:f>【参考】数式用3!$A$3:$A$49</xm:f>
          </x14:formula1>
          <xm:sqref>J5:L5</xm:sqref>
        </x14:dataValidation>
        <x14:dataValidation type="list" allowBlank="1" showInputMessage="1" showErrorMessage="1" xr:uid="{AC7EB3B8-E77B-415B-891F-6C8A3A5A0780}">
          <x14:formula1>
            <xm:f>【参考】数式用!$I$4:$J$4</xm:f>
          </x14:formula1>
          <xm:sqref>L9</xm:sqref>
        </x14:dataValidation>
        <x14:dataValidation type="list" allowBlank="1" showInputMessage="1" showErrorMessage="1" xr:uid="{F122ED0D-6961-4FB1-B25A-4AC98378C007}">
          <x14:formula1>
            <xm:f>【参考】数式用!$F$4:$H$4</xm:f>
          </x14:formula1>
          <xm:sqref>G9</xm:sqref>
        </x14:dataValidation>
        <x14:dataValidation type="list" allowBlank="1" showInputMessage="1" showErrorMessage="1" xr:uid="{5E58F6FB-6837-4D67-AE5C-69090E859FE7}">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1EED-51D8-4018-A16D-22336495ECD7}">
  <sheetPr codeName="Sheet12">
    <pageSetUpPr fitToPage="1"/>
  </sheetPr>
  <dimension ref="A1:CJ73"/>
  <sheetViews>
    <sheetView showGridLines="0" view="pageBreakPreview" topLeftCell="F1" zoomScaleNormal="53" zoomScaleSheetLayoutView="100" workbookViewId="0">
      <selection activeCell="AQ7" sqref="AQ7:AQ8"/>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2331</v>
      </c>
      <c r="O1" s="997"/>
      <c r="P1" s="997"/>
      <c r="Q1" s="997"/>
      <c r="R1" s="997"/>
      <c r="S1" s="997"/>
      <c r="T1" s="997"/>
      <c r="U1" s="997"/>
      <c r="V1" s="997"/>
      <c r="W1" s="997"/>
      <c r="X1" s="997"/>
      <c r="Y1" s="997"/>
      <c r="Z1" s="997"/>
      <c r="AA1" s="997"/>
      <c r="AB1" s="997"/>
      <c r="AC1" s="997"/>
      <c r="AD1" s="997"/>
      <c r="AE1" s="997"/>
      <c r="AF1" s="1127" t="s">
        <v>25</v>
      </c>
      <c r="AG1" s="1127"/>
      <c r="AH1" s="1127"/>
      <c r="AI1" s="1128" t="str">
        <f>IF(G5="","",G5)</f>
        <v/>
      </c>
      <c r="AJ1" s="1128"/>
      <c r="AK1" s="1128"/>
      <c r="AL1" s="1128"/>
      <c r="AM1" s="1128"/>
      <c r="AN1" s="1128"/>
      <c r="AO1" s="1128"/>
      <c r="AP1" s="1128"/>
      <c r="AS1" s="958" t="str">
        <f>B9&amp;G9&amp;L9</f>
        <v/>
      </c>
      <c r="AT1" s="959"/>
      <c r="AU1" s="959"/>
      <c r="AV1" s="959"/>
      <c r="AW1" s="959"/>
      <c r="AX1" s="959"/>
      <c r="AY1" s="959"/>
      <c r="AZ1" s="959"/>
      <c r="BA1" s="959"/>
      <c r="BB1" s="959"/>
      <c r="BC1" s="959"/>
      <c r="BD1" s="959"/>
      <c r="BE1" s="960"/>
      <c r="BF1" s="957" t="str">
        <f>IFERROR(VLOOKUP(Y5,【参考】数式用!$AH$2:$AI$34,2,FALSE),"")</f>
        <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511"/>
      <c r="AR2" s="511"/>
      <c r="CE2" s="918" t="s">
        <v>2193</v>
      </c>
      <c r="CF2" s="918"/>
      <c r="CG2" s="918"/>
      <c r="CH2" s="918"/>
      <c r="CI2" s="1132" t="str">
        <f>IF(AI1&lt;&gt;"",1,"")</f>
        <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t="str">
        <f>IF(AND(L9="ベア加算",Q49="ベア加算"),1,"")</f>
        <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t="str">
        <f>IF(OR(OR(G49="処遇加算Ⅰ",G49="処遇加算Ⅱ"),OR(AS48="処遇加算Ⅰ",AS48="処遇加算Ⅱ")),1,"")</f>
        <v/>
      </c>
      <c r="CJ4" s="917"/>
    </row>
    <row r="5" spans="1:88" ht="33" customHeight="1">
      <c r="B5" s="1027"/>
      <c r="C5" s="1027"/>
      <c r="D5" s="1027"/>
      <c r="E5" s="1027"/>
      <c r="F5" s="1027"/>
      <c r="G5" s="1028"/>
      <c r="H5" s="1028"/>
      <c r="I5" s="1028"/>
      <c r="J5" s="1029"/>
      <c r="K5" s="1029"/>
      <c r="L5" s="1029"/>
      <c r="M5" s="1030"/>
      <c r="N5" s="1030"/>
      <c r="O5" s="1030"/>
      <c r="P5" s="1138"/>
      <c r="Q5" s="1139"/>
      <c r="R5" s="1139"/>
      <c r="S5" s="1139"/>
      <c r="T5" s="1139"/>
      <c r="U5" s="1139"/>
      <c r="V5" s="1139"/>
      <c r="W5" s="1139"/>
      <c r="X5" s="1140"/>
      <c r="Y5" s="1010"/>
      <c r="Z5" s="1010"/>
      <c r="AA5" s="1010"/>
      <c r="AB5" s="1010"/>
      <c r="AC5" s="1010"/>
      <c r="AD5" s="1010"/>
      <c r="AE5" s="923"/>
      <c r="AF5" s="924"/>
      <c r="AG5" s="924"/>
      <c r="AH5" s="925"/>
      <c r="AI5" s="923"/>
      <c r="AJ5" s="924"/>
      <c r="AK5" s="924"/>
      <c r="AL5" s="925"/>
      <c r="AM5" s="926">
        <f>AE5-AI5</f>
        <v>0</v>
      </c>
      <c r="AN5" s="927"/>
      <c r="AO5" s="927"/>
      <c r="AP5" s="928"/>
      <c r="AS5" s="80"/>
      <c r="AT5" s="911"/>
      <c r="AU5" s="911"/>
      <c r="AV5" s="911"/>
      <c r="AW5" s="911"/>
      <c r="AX5" s="911"/>
      <c r="AY5" s="911"/>
      <c r="AZ5" s="911"/>
      <c r="BA5" s="81"/>
      <c r="CE5" s="918" t="s">
        <v>2186</v>
      </c>
      <c r="CF5" s="918"/>
      <c r="CG5" s="918"/>
      <c r="CH5" s="918"/>
      <c r="CI5" s="916" t="str">
        <f>IF(OR(G49="処遇加算Ⅰ",AS48="処遇加算Ⅰ"),1,"")</f>
        <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t="str">
        <f>IF(OR(AH61=1,AP61=1),1,"")</f>
        <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
      </c>
      <c r="W8" s="930"/>
      <c r="X8" s="930"/>
      <c r="Y8" s="930"/>
      <c r="Z8" s="931"/>
      <c r="AA8" s="919" t="str">
        <f>IFERROR(VLOOKUP(AS1,【参考】数式用2!E6:L23,4,FALSE),"")</f>
        <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29" t="str">
        <f>IF(OR(V8="新加算Ⅰ",V8="新加算Ⅱ",V8="新加算Ⅲ",V8="新加算Ⅴ(１)",V8="新加算Ⅴ(３)",V8="新加算Ⅴ(８)"),"○","")</f>
        <v/>
      </c>
      <c r="AX8" s="1129" t="str">
        <f>IF(OR(V8="新加算Ⅰ",V8="新加算Ⅱ",V8="新加算Ⅴ(１)",V8="新加算Ⅴ(２)",V8="新加算Ⅴ(３)",V8="新加算Ⅴ(４)",V8="新加算Ⅴ(５)",V8="新加算Ⅴ(６)",V8="新加算Ⅴ(７)",V8="新加算Ⅴ(９)",V8="新加算Ⅴ(10)",V8="新加算Ⅴ(12)"),"○","")</f>
        <v/>
      </c>
      <c r="AY8" s="1129" t="str">
        <f>IF(OR(V8="新加算Ⅰ",V8="新加算Ⅴ(１)",V8="新加算Ⅴ(２)",V8="新加算Ⅴ(５)",V8="新加算Ⅴ(７)",V8="新加算Ⅴ(10)"),"○","")</f>
        <v/>
      </c>
      <c r="AZ8" s="1129" t="str">
        <f>IF(OR(V8="新加算Ⅰ",V8="新加算Ⅱ",V8="新加算Ⅴ(１)",V8="新加算Ⅴ(２)",V8="新加算Ⅴ(３)",V8="新加算Ⅴ(４)",V8="新加算Ⅴ(５)",V8="新加算Ⅴ(６)",V8="新加算Ⅴ(７)",V8="新加算Ⅴ(９)",V8="新加算Ⅴ(10)",V8="新加算Ⅴ(12)"),"○","")</f>
        <v/>
      </c>
      <c r="BA8" s="81"/>
      <c r="CE8" s="1136" t="s">
        <v>2188</v>
      </c>
      <c r="CF8" s="1136"/>
      <c r="CG8" s="1136"/>
      <c r="CH8" s="1136"/>
      <c r="CI8" s="916" t="str">
        <f>IF(AND(AP62=1,AL41=""),1,"")</f>
        <v/>
      </c>
      <c r="CJ8" s="917"/>
    </row>
    <row r="9" spans="1:88" ht="26.25" customHeight="1">
      <c r="B9" s="1048"/>
      <c r="C9" s="1049"/>
      <c r="D9" s="1049"/>
      <c r="E9" s="1049"/>
      <c r="F9" s="1050"/>
      <c r="G9" s="1051"/>
      <c r="H9" s="1052"/>
      <c r="I9" s="1052"/>
      <c r="J9" s="1052"/>
      <c r="K9" s="1053"/>
      <c r="L9" s="1054"/>
      <c r="M9" s="1055"/>
      <c r="N9" s="1055"/>
      <c r="O9" s="1055"/>
      <c r="P9" s="1056"/>
      <c r="Q9" s="1031" t="s">
        <v>2052</v>
      </c>
      <c r="R9" s="1032"/>
      <c r="S9" s="1032"/>
      <c r="T9" s="945"/>
      <c r="U9" s="946"/>
      <c r="V9" s="932" t="str">
        <f>IFERROR(VLOOKUP(Y5,【参考】数式用!$A$5:$AB$37,MATCH(V8,【参考】数式用!$B$4:$AB$4,0)+1,FALSE),"")</f>
        <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t="str">
        <f>IF(OR(AH62=1,AP62=1),1,"")</f>
        <v/>
      </c>
      <c r="CJ9" s="917"/>
    </row>
    <row r="10" spans="1:88" ht="11.25" customHeight="1">
      <c r="B10" s="1057" t="str">
        <f>IFERROR(VLOOKUP(Y5,【参考】数式用!$A$5:$J$37,MATCH(B9,【参考】数式用!$B$4:$J$4,0)+1,0),"")</f>
        <v/>
      </c>
      <c r="C10" s="1058"/>
      <c r="D10" s="1058"/>
      <c r="E10" s="1058"/>
      <c r="F10" s="1059"/>
      <c r="G10" s="1057" t="str">
        <f>IFERROR(VLOOKUP(Y5,【参考】数式用!$A$5:$J$37,MATCH(G9,【参考】数式用!$B$4:$J$4,0)+1,0),"")</f>
        <v/>
      </c>
      <c r="H10" s="1058"/>
      <c r="I10" s="1058"/>
      <c r="J10" s="1058"/>
      <c r="K10" s="1059"/>
      <c r="L10" s="1063" t="str">
        <f>IFERROR(VLOOKUP(Y5,【参考】数式用!$A$5:$J$37,MATCH(L9,【参考】数式用!$B$4:$J$4,0)+1,0),"")</f>
        <v/>
      </c>
      <c r="M10" s="1064"/>
      <c r="N10" s="1064"/>
      <c r="O10" s="1064"/>
      <c r="P10" s="1065"/>
      <c r="Q10" s="1069">
        <f>SUM(B10,G10,L10)</f>
        <v>0</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0</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
      </c>
      <c r="W11" s="999"/>
      <c r="X11" s="999"/>
      <c r="Y11" s="999"/>
      <c r="Z11" s="999"/>
      <c r="AA11" s="919" t="str">
        <f>IFERROR(VLOOKUP(AS1,【参考】数式用2!E6:L23,6,FALSE),"")</f>
        <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29" t="str">
        <f>IF(OR(V11="新加算Ⅰ",V11="新加算Ⅱ",V11="新加算Ⅲ",V11="新加算Ⅴ(１)",V11="新加算Ⅴ(３)",V11="新加算Ⅴ(８)"),"○","")</f>
        <v/>
      </c>
      <c r="AX11" s="1129" t="str">
        <f>IF(OR(V11="新加算Ⅰ",V11="新加算Ⅱ",V11="新加算Ⅴ(１)",V11="新加算Ⅴ(２)",V11="新加算Ⅴ(３)",V11="新加算Ⅴ(４)",V11="新加算Ⅴ(５)",V11="新加算Ⅴ(６)",V11="新加算Ⅴ(７)",V11="新加算Ⅴ(９)",V11="新加算Ⅴ(10)",V11="新加算Ⅴ(12)"),"○","")</f>
        <v/>
      </c>
      <c r="AY11" s="1129" t="str">
        <f>IF(OR(V11="新加算Ⅰ",V11="新加算Ⅴ(１)",V11="新加算Ⅴ(２)",V11="新加算Ⅴ(５)",V11="新加算Ⅴ(７)",V11="新加算Ⅴ(10)"),"○","")</f>
        <v/>
      </c>
      <c r="AZ11" s="1129" t="str">
        <f>IF(OR(V11="新加算Ⅰ",V11="新加算Ⅱ",V11="新加算Ⅴ(１)",V11="新加算Ⅴ(２)",V11="新加算Ⅴ(３)",V11="新加算Ⅴ(４)",V11="新加算Ⅴ(５)",V11="新加算Ⅴ(６)",V11="新加算Ⅴ(７)",V11="新加算Ⅴ(９)",V11="新加算Ⅴ(10)",V11="新加算Ⅴ(12)"),"○","")</f>
        <v/>
      </c>
      <c r="BA11" s="97"/>
    </row>
    <row r="12" spans="1:88" ht="25.5" customHeight="1" thickBot="1">
      <c r="A12" s="75"/>
      <c r="B12" s="102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26"/>
      <c r="D12" s="1026"/>
      <c r="E12" s="1026"/>
      <c r="F12" s="1026"/>
      <c r="G12" s="1026"/>
      <c r="H12" s="1026"/>
      <c r="I12" s="1026"/>
      <c r="J12" s="1026"/>
      <c r="K12" s="1026"/>
      <c r="L12" s="1026"/>
      <c r="M12" s="1026"/>
      <c r="N12" s="1026"/>
      <c r="O12" s="1026"/>
      <c r="P12" s="1026"/>
      <c r="Q12" s="1026"/>
      <c r="R12" s="1026"/>
      <c r="S12" s="1026"/>
      <c r="T12" s="956"/>
      <c r="U12" s="946"/>
      <c r="V12" s="1137" t="str">
        <f>IFERROR(VLOOKUP(Y5,【参考】数式用!$A$5:$AB$37,MATCH(V11,【参考】数式用!$B$4:$AB$4,0)+1,FALSE),"")</f>
        <v/>
      </c>
      <c r="W12" s="1137"/>
      <c r="X12" s="1137"/>
      <c r="Y12" s="1137"/>
      <c r="Z12" s="1137"/>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508"/>
      <c r="V14" s="999" t="str">
        <f>IFERROR(IF(VLOOKUP(AS1,【参考】数式用2!E6:L23,7,FALSE)="","",VLOOKUP(AS1,【参考】数式用2!E6:L23,7,FALSE)),"")</f>
        <v/>
      </c>
      <c r="W14" s="999"/>
      <c r="X14" s="999"/>
      <c r="Y14" s="999"/>
      <c r="Z14" s="999"/>
      <c r="AA14" s="948" t="str">
        <f>IFERROR(VLOOKUP(AS1,【参考】数式用2!E6:L23,8,FALSE),"")</f>
        <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54">
        <v>6</v>
      </c>
      <c r="E15" s="512" t="s">
        <v>2111</v>
      </c>
      <c r="F15" s="54">
        <v>4</v>
      </c>
      <c r="G15" s="512" t="s">
        <v>2112</v>
      </c>
      <c r="H15" s="983" t="s">
        <v>2113</v>
      </c>
      <c r="I15" s="983"/>
      <c r="J15" s="996"/>
      <c r="K15" s="54">
        <v>7</v>
      </c>
      <c r="L15" s="512" t="s">
        <v>2111</v>
      </c>
      <c r="M15" s="54">
        <v>3</v>
      </c>
      <c r="N15" s="512" t="s">
        <v>2112</v>
      </c>
      <c r="O15" s="512" t="s">
        <v>2114</v>
      </c>
      <c r="P15" s="99">
        <f>(K15*12+M15)-(D15*12+F15)+1</f>
        <v>12</v>
      </c>
      <c r="Q15" s="983" t="s">
        <v>2115</v>
      </c>
      <c r="R15" s="983"/>
      <c r="S15" s="100" t="s">
        <v>69</v>
      </c>
      <c r="U15" s="508"/>
      <c r="V15" s="984" t="str">
        <f>IFERROR(VLOOKUP(Y5,【参考】数式用!$A$5:$AB$37,MATCH(V14,【参考】数式用!$B$4:$AB$4,0)+1,FALSE),"")</f>
        <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508"/>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510"/>
      <c r="U17" s="510"/>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513" t="str">
        <f>IFERROR(IF(L9="ベア加算","✓",""),"")</f>
        <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513" t="str">
        <f>IFERROR(IF(OR(B9="処遇加算Ⅰ",B9="処遇加算Ⅱ"),"✓",""),"")</f>
        <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513" t="str">
        <f>IFERROR(IF(B9="処遇加算Ⅲ","✓",""),"")</f>
        <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513"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513" t="str">
        <f>IFERROR(IF(OR(B9="処遇加算Ⅰ",B9="処遇加算Ⅱ"),"✓",""),"")</f>
        <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513" t="str">
        <f>IFERROR(IF(B9="処遇加算Ⅲ","✓",""),"")</f>
        <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513"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513" t="str">
        <f>IFERROR(IF(B9="処遇加算Ⅰ","✓",""),"")</f>
        <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513" t="str">
        <f>IFERROR(IF(AND(B9&lt;&gt;"",B9&lt;&gt;"処遇加算Ⅰ"),"✓",""),"")</f>
        <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513" t="str">
        <f>IFERROR(IF(OR(G9="特定加算Ⅰ",G9="特定加算Ⅱ"),"✓",""),"")</f>
        <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513" t="str">
        <f>IFERROR(IF(G9="特定加算なし","✓",""),"")</f>
        <v/>
      </c>
      <c r="W37" s="977" t="s">
        <v>15</v>
      </c>
      <c r="X37" s="978"/>
      <c r="Y37" s="978"/>
      <c r="Z37" s="979"/>
      <c r="AA37" s="945"/>
      <c r="AB37" s="946"/>
      <c r="AC37" s="971" t="s">
        <v>2176</v>
      </c>
      <c r="AD37" s="972"/>
      <c r="AE37" s="972"/>
      <c r="AF37" s="972"/>
      <c r="AG37" s="973"/>
      <c r="AH37" s="974"/>
      <c r="AI37" s="945"/>
      <c r="AJ37" s="946"/>
      <c r="AK37" s="971" t="s">
        <v>2176</v>
      </c>
      <c r="AL37" s="972"/>
      <c r="AM37" s="972"/>
      <c r="AN37" s="972"/>
      <c r="AO37" s="973"/>
      <c r="AP37" s="974"/>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c>
      <c r="H40" s="1001"/>
      <c r="I40" s="1001"/>
      <c r="J40" s="1001"/>
      <c r="K40" s="1001"/>
      <c r="L40" s="1001"/>
      <c r="M40" s="1001"/>
      <c r="N40" s="1001"/>
      <c r="O40" s="1001"/>
      <c r="P40" s="1001"/>
      <c r="Q40" s="1001"/>
      <c r="R40" s="1001"/>
      <c r="S40" s="1001"/>
      <c r="T40" s="1002"/>
      <c r="U40" s="89"/>
      <c r="V40" s="513" t="str">
        <f>IFERROR(IF(G9="特定加算Ⅰ","✓",""),"")</f>
        <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513" t="str">
        <f>IFERROR(IF(OR(G9="特定加算Ⅱ",G9="特定加算なし"),"✓",""),"")</f>
        <v/>
      </c>
      <c r="W41" s="977" t="s">
        <v>15</v>
      </c>
      <c r="X41" s="978"/>
      <c r="Y41" s="978"/>
      <c r="Z41" s="979"/>
      <c r="AA41" s="945"/>
      <c r="AB41" s="946"/>
      <c r="AC41" s="127" t="s">
        <v>83</v>
      </c>
      <c r="AD41" s="1084"/>
      <c r="AE41" s="1085"/>
      <c r="AF41" s="1085"/>
      <c r="AG41" s="1085"/>
      <c r="AH41" s="1086"/>
      <c r="AI41" s="945"/>
      <c r="AJ41" s="946"/>
      <c r="AK41" s="127" t="s">
        <v>83</v>
      </c>
      <c r="AL41" s="1084"/>
      <c r="AM41" s="1085"/>
      <c r="AN41" s="1085"/>
      <c r="AO41" s="1085"/>
      <c r="AP41" s="1086"/>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510"/>
      <c r="AB42" s="510"/>
      <c r="AC42" s="129"/>
      <c r="AD42" s="955" t="s">
        <v>15</v>
      </c>
      <c r="AE42" s="955"/>
      <c r="AF42" s="955"/>
      <c r="AG42" s="955"/>
      <c r="AH42" s="955"/>
      <c r="AI42" s="510"/>
      <c r="AJ42" s="510"/>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2375</v>
      </c>
      <c r="H44" s="1001"/>
      <c r="I44" s="1001"/>
      <c r="J44" s="1001"/>
      <c r="K44" s="1001"/>
      <c r="L44" s="1001"/>
      <c r="M44" s="1001"/>
      <c r="N44" s="1001"/>
      <c r="O44" s="1001"/>
      <c r="P44" s="1001"/>
      <c r="Q44" s="1001"/>
      <c r="R44" s="1001"/>
      <c r="S44" s="1001"/>
      <c r="T44" s="1002"/>
      <c r="U44" s="112"/>
      <c r="V44" s="513" t="str">
        <f>IFERROR(IF(OR(G9="特定加算Ⅰ",G9="特定加算Ⅱ"),"✓",""),"")</f>
        <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513" t="str">
        <f>IFERROR(IF(G9="特定加算なし","✓",""),"")</f>
        <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
      </c>
      <c r="AT48" s="964"/>
      <c r="AU48" s="964"/>
      <c r="AV48" s="964"/>
      <c r="AW48" s="965" t="str">
        <f>IFERROR(IF(AND(AP61=1,AP62=1,AP63=1),"特定加算Ⅰ",IF(AND(AP61=1,AP62=2,AP63=1),"特定加算Ⅱ",IF(OR(AP61=2,AP62=2,AP63=2),"特定加算なし",""))),"")</f>
        <v>特定加算なし</v>
      </c>
      <c r="AX48" s="965"/>
      <c r="AY48" s="965"/>
      <c r="AZ48" s="965"/>
      <c r="BA48" s="964" t="str">
        <f>IFERROR(IF(OR(L9="ベア加算",AP57=1),"ベア加算",IF(AP57=2,"ベア加算なし","")),"")</f>
        <v/>
      </c>
      <c r="BB48" s="964"/>
      <c r="BC48" s="964"/>
      <c r="BD48" s="964"/>
      <c r="BE48" s="966" t="str">
        <f>AS48&amp;AW48&amp;BA48</f>
        <v>特定加算なし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
      </c>
      <c r="H49" s="1088"/>
      <c r="I49" s="1088"/>
      <c r="J49" s="1088"/>
      <c r="K49" s="1113"/>
      <c r="L49" s="1118" t="str">
        <f>IFERROR(IF(G9="","",IF(AND(AH61=1,AH62=1,AH63=1),"特定加算Ⅰ",IF(AND(AH61=1,AH62=2,AH63=1),"特定加算Ⅱ",IF(OR(AH61=2,AH62=2,AH63=2),"特定加算なし","")))),"")</f>
        <v/>
      </c>
      <c r="M49" s="1119"/>
      <c r="N49" s="1119"/>
      <c r="O49" s="1119"/>
      <c r="P49" s="1120"/>
      <c r="Q49" s="1087" t="str">
        <f>IFERROR(IF(OR(L9="ベア加算",AND(L9="ベア加算なし",AH57=1)),"ベア加算",IF(AH57=2,"ベア加算なし","")),"")</f>
        <v/>
      </c>
      <c r="R49" s="1088"/>
      <c r="S49" s="1088"/>
      <c r="T49" s="1088"/>
      <c r="U49" s="1089"/>
      <c r="V49" s="1090" t="s">
        <v>10</v>
      </c>
      <c r="W49" s="1091"/>
      <c r="X49" s="1091"/>
      <c r="Y49" s="1091"/>
      <c r="Z49" s="1091"/>
      <c r="AA49" s="956"/>
      <c r="AB49" s="956"/>
      <c r="AC49" s="1097" t="str">
        <f>IFERROR(VLOOKUP(BE48,【参考】数式用2!E6:F23,2,FALSE),"")</f>
        <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t="str">
        <f>IFERROR(VLOOKUP(Y5,【参考】数式用!$A$5:$J$37,MATCH(G49,【参考】数式用!$B$4:$J$4,0)+1,0),"")</f>
        <v/>
      </c>
      <c r="H50" s="1101"/>
      <c r="I50" s="1101"/>
      <c r="J50" s="1101"/>
      <c r="K50" s="1102"/>
      <c r="L50" s="1103" t="str">
        <f>IFERROR(VLOOKUP(Y5,【参考】数式用!$A$5:$J$37,MATCH(L49,【参考】数式用!$B$4:$J$4,0)+1,0),"")</f>
        <v/>
      </c>
      <c r="M50" s="1104"/>
      <c r="N50" s="1104"/>
      <c r="O50" s="1104"/>
      <c r="P50" s="1105"/>
      <c r="Q50" s="1106" t="str">
        <f>IFERROR(VLOOKUP(Y5,【参考】数式用!$A$5:$J$37,MATCH(Q49,【参考】数式用!$B$4:$J$4,0)+1,0),"")</f>
        <v/>
      </c>
      <c r="R50" s="1101"/>
      <c r="S50" s="1101"/>
      <c r="T50" s="1101"/>
      <c r="U50" s="1107"/>
      <c r="V50" s="1069">
        <f>SUM(G50,L50,Q50)</f>
        <v>0</v>
      </c>
      <c r="W50" s="1070"/>
      <c r="X50" s="1070"/>
      <c r="Y50" s="1070"/>
      <c r="Z50" s="1070"/>
      <c r="AA50" s="956"/>
      <c r="AB50" s="956"/>
      <c r="AC50" s="1108" t="str">
        <f>IFERROR(VLOOKUP(Y5,【参考】数式用!$A$5:$AB$37,MATCH(AC49,【参考】数式用!$B$4:$AB$4,0)+1,FALSE),"")</f>
        <v/>
      </c>
      <c r="AD50" s="1109"/>
      <c r="AE50" s="1109"/>
      <c r="AF50" s="1109"/>
      <c r="AG50" s="1109"/>
      <c r="AH50" s="1110"/>
      <c r="AS50" s="962" t="s">
        <v>2047</v>
      </c>
      <c r="AT50" s="962"/>
      <c r="AU50" s="962"/>
      <c r="AV50" s="962"/>
      <c r="AW50" s="962" t="s">
        <v>2048</v>
      </c>
      <c r="AX50" s="962"/>
      <c r="AY50" s="962"/>
      <c r="AZ50" s="962"/>
      <c r="BA50" s="962" t="s">
        <v>13</v>
      </c>
      <c r="BB50" s="962"/>
      <c r="BC50" s="962"/>
      <c r="BD50" s="962"/>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t="str">
        <f>IFERROR(ROUNDDOWN(ROUND(AM5*G50,0),0)*H53,"")</f>
        <v/>
      </c>
      <c r="H51" s="1016"/>
      <c r="I51" s="1016"/>
      <c r="J51" s="1016"/>
      <c r="K51" s="55" t="s">
        <v>2117</v>
      </c>
      <c r="L51" s="1013" t="str">
        <f>IFERROR(ROUNDDOWN(ROUND(AM5*L50,0),0)*H53,"")</f>
        <v/>
      </c>
      <c r="M51" s="1014"/>
      <c r="N51" s="1014"/>
      <c r="O51" s="1014"/>
      <c r="P51" s="55" t="s">
        <v>2117</v>
      </c>
      <c r="Q51" s="1015" t="str">
        <f>IFERROR(ROUNDDOWN(ROUND(AM5*Q50,0),0)*H53,"")</f>
        <v/>
      </c>
      <c r="R51" s="1016"/>
      <c r="S51" s="1016"/>
      <c r="T51" s="1016"/>
      <c r="U51" s="56" t="s">
        <v>2117</v>
      </c>
      <c r="V51" s="1116">
        <f>IFERROR(SUM(G51,L51,Q51),"")</f>
        <v>0</v>
      </c>
      <c r="W51" s="1117"/>
      <c r="X51" s="1117"/>
      <c r="Y51" s="1117"/>
      <c r="Z51" s="57" t="s">
        <v>2117</v>
      </c>
      <c r="AB51" s="58"/>
      <c r="AC51" s="1015" t="str">
        <f>IFERROR(ROUNDDOWN(ROUND(AM5*AC50,0),0)*AD53,"")</f>
        <v/>
      </c>
      <c r="AD51" s="1016"/>
      <c r="AE51" s="1016"/>
      <c r="AF51" s="1016"/>
      <c r="AG51" s="1016"/>
      <c r="AH51" s="56" t="s">
        <v>2117</v>
      </c>
      <c r="AS51" s="967" t="str">
        <f>IFERROR(ROUNDDOWN(ROUND(AM5*(G50-B10),0),0)*H53,"")</f>
        <v/>
      </c>
      <c r="AT51" s="967"/>
      <c r="AU51" s="967"/>
      <c r="AV51" s="967"/>
      <c r="AW51" s="967" t="str">
        <f>IFERROR(ROUNDDOWN(ROUND(AM5*(L50-G10),0),0)*H53,"")</f>
        <v/>
      </c>
      <c r="AX51" s="967"/>
      <c r="AY51" s="967"/>
      <c r="AZ51" s="967"/>
      <c r="BA51" s="967" t="str">
        <f>IFERROR(ROUNDDOWN(ROUND(AM5*(Q50-L10),0),0)*H53,"")</f>
        <v/>
      </c>
      <c r="BB51" s="967"/>
      <c r="BC51" s="967"/>
      <c r="BD51" s="967"/>
      <c r="BE51" s="967" t="str">
        <f>IFERROR(ROUNDDOWN(ROUND(AM5*(AC50-Q10),0),0)*AD53,"")</f>
        <v/>
      </c>
      <c r="BF51" s="967"/>
      <c r="BG51" s="967"/>
      <c r="BH51" s="967"/>
      <c r="BI51" s="967">
        <f>SUM(AS51:BH51)</f>
        <v>0</v>
      </c>
      <c r="BJ51" s="967"/>
      <c r="BK51" s="967"/>
      <c r="BL51" s="967"/>
      <c r="BM51" s="134"/>
      <c r="BN51" s="967" t="str">
        <f>IFERROR(ROUNDDOWN(ROUNDDOWN(ROUND(AM5*(VLOOKUP(Y5,【参考】数式用!$A$5:$AB$37,14,FALSE)),0),0)*AD53*0.5,0),"")</f>
        <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
      </c>
      <c r="H52" s="1012"/>
      <c r="I52" s="1012"/>
      <c r="J52" s="1012"/>
      <c r="K52" s="1012"/>
      <c r="L52" s="1114" t="str">
        <f>IFERROR("("&amp;TEXT(L51/H53,"#,##0円")&amp;"/月)","")</f>
        <v/>
      </c>
      <c r="M52" s="1115"/>
      <c r="N52" s="1115"/>
      <c r="O52" s="1115"/>
      <c r="P52" s="1011"/>
      <c r="Q52" s="1012" t="str">
        <f>IFERROR("("&amp;TEXT(Q51/H53,"#,##0円")&amp;"/月)","")</f>
        <v/>
      </c>
      <c r="R52" s="1012"/>
      <c r="S52" s="1012"/>
      <c r="T52" s="1012"/>
      <c r="U52" s="1012"/>
      <c r="V52" s="1012" t="str">
        <f>IFERROR("("&amp;TEXT(V51/H53,"#,##0円")&amp;"/月)","")</f>
        <v>(0円/月)</v>
      </c>
      <c r="W52" s="1012"/>
      <c r="X52" s="1012"/>
      <c r="Y52" s="1012"/>
      <c r="Z52" s="1012"/>
      <c r="AB52" s="58"/>
      <c r="AC52" s="1114" t="str">
        <f>IFERROR("("&amp;TEXT(AC51/AD53,"#,##0円")&amp;"/月)","")</f>
        <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2376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2377</v>
      </c>
      <c r="V57" s="962"/>
      <c r="W57" s="962"/>
      <c r="X57" s="962"/>
      <c r="Y57" s="962"/>
      <c r="Z57" s="509" t="str">
        <f>IF(AND(B9&lt;&gt;"処遇加算なし",F15=4),IF(V21="✓",1,IF(V22="✓",2,"")),"")</f>
        <v/>
      </c>
      <c r="AA57" s="138"/>
      <c r="AB57" s="142"/>
      <c r="AC57" s="962" t="s">
        <v>2377</v>
      </c>
      <c r="AD57" s="962"/>
      <c r="AE57" s="962"/>
      <c r="AF57" s="962"/>
      <c r="AG57" s="962"/>
      <c r="AH57" s="404">
        <f>IF(AND(F15&lt;&gt;4,F15&lt;&gt;5),0,IF(AT8="○",1,0))</f>
        <v>0</v>
      </c>
      <c r="AI57" s="145"/>
      <c r="AJ57" s="142"/>
      <c r="AK57" s="962" t="s">
        <v>2377</v>
      </c>
      <c r="AL57" s="962"/>
      <c r="AM57" s="962"/>
      <c r="AN57" s="962"/>
      <c r="AO57" s="962"/>
      <c r="AP57" s="404">
        <f>IF(AT8="○",1,0)</f>
        <v>0</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2378</v>
      </c>
      <c r="V58" s="970"/>
      <c r="W58" s="970"/>
      <c r="X58" s="970"/>
      <c r="Y58" s="970"/>
      <c r="Z58" s="509" t="str">
        <f>IF(AND(B9&lt;&gt;"処遇加算なし",F15=4),IF(V24="✓",1,IF(V25="✓",2,IF(V26="✓",3,""))),"")</f>
        <v/>
      </c>
      <c r="AA58" s="138"/>
      <c r="AB58" s="142"/>
      <c r="AC58" s="970" t="s">
        <v>2378</v>
      </c>
      <c r="AD58" s="970"/>
      <c r="AE58" s="970"/>
      <c r="AF58" s="970"/>
      <c r="AG58" s="970"/>
      <c r="AH58" s="404">
        <f>IF(AND(F15&lt;&gt;4,F15&lt;&gt;5),0,IF(AU8="○",1,3))</f>
        <v>3</v>
      </c>
      <c r="AI58" s="145"/>
      <c r="AJ58" s="142"/>
      <c r="AK58" s="970" t="s">
        <v>2378</v>
      </c>
      <c r="AL58" s="970"/>
      <c r="AM58" s="970"/>
      <c r="AN58" s="970"/>
      <c r="AO58" s="970"/>
      <c r="AP58" s="404">
        <f>IF(AU8="○",1,3)</f>
        <v>3</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2379</v>
      </c>
      <c r="V59" s="970"/>
      <c r="W59" s="970"/>
      <c r="X59" s="970"/>
      <c r="Y59" s="970"/>
      <c r="Z59" s="509" t="str">
        <f>IF(AND(B9&lt;&gt;"処遇加算なし",F15=4),IF(V28="✓",1,IF(V29="✓",2,IF(V30="✓",3,""))),"")</f>
        <v/>
      </c>
      <c r="AA59" s="138"/>
      <c r="AB59" s="142"/>
      <c r="AC59" s="970" t="s">
        <v>2379</v>
      </c>
      <c r="AD59" s="970"/>
      <c r="AE59" s="970"/>
      <c r="AF59" s="970"/>
      <c r="AG59" s="970"/>
      <c r="AH59" s="404">
        <f>IF(AND(F15&lt;&gt;4,F15&lt;&gt;5),0,IF(AV8="○",1,3))</f>
        <v>3</v>
      </c>
      <c r="AI59" s="145"/>
      <c r="AJ59" s="142"/>
      <c r="AK59" s="970" t="s">
        <v>2379</v>
      </c>
      <c r="AL59" s="970"/>
      <c r="AM59" s="970"/>
      <c r="AN59" s="970"/>
      <c r="AO59" s="970"/>
      <c r="AP59" s="404">
        <f>IF(AV8="○",1,3)</f>
        <v>3</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2380</v>
      </c>
      <c r="V60" s="970"/>
      <c r="W60" s="970"/>
      <c r="X60" s="970"/>
      <c r="Y60" s="970"/>
      <c r="Z60" s="509" t="str">
        <f>IF(AND(B9&lt;&gt;"処遇加算なし",F15=4),IF(V32="✓",1,IF(V33="✓",2,"")),"")</f>
        <v/>
      </c>
      <c r="AA60" s="138"/>
      <c r="AB60" s="142"/>
      <c r="AC60" s="970" t="s">
        <v>2380</v>
      </c>
      <c r="AD60" s="970"/>
      <c r="AE60" s="970"/>
      <c r="AF60" s="970"/>
      <c r="AG60" s="970"/>
      <c r="AH60" s="404">
        <f>IF(AND(F15&lt;&gt;4,F15&lt;&gt;5),0,IF(AW8="○",1,3))</f>
        <v>3</v>
      </c>
      <c r="AI60" s="145"/>
      <c r="AJ60" s="142"/>
      <c r="AK60" s="970" t="s">
        <v>2380</v>
      </c>
      <c r="AL60" s="970"/>
      <c r="AM60" s="970"/>
      <c r="AN60" s="970"/>
      <c r="AO60" s="970"/>
      <c r="AP60" s="404">
        <f>IF(AW8="○",1,3)</f>
        <v>3</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2381</v>
      </c>
      <c r="V61" s="970"/>
      <c r="W61" s="970"/>
      <c r="X61" s="970"/>
      <c r="Y61" s="970"/>
      <c r="Z61" s="509" t="str">
        <f>IF(AND(B9&lt;&gt;"処遇加算なし",F15=4),IF(V36="✓",1,IF(V37="✓",2,"")),"")</f>
        <v/>
      </c>
      <c r="AA61" s="138"/>
      <c r="AB61" s="142"/>
      <c r="AC61" s="970" t="s">
        <v>2381</v>
      </c>
      <c r="AD61" s="970"/>
      <c r="AE61" s="970"/>
      <c r="AF61" s="970"/>
      <c r="AG61" s="970"/>
      <c r="AH61" s="404">
        <f>IF(AND(F15&lt;&gt;4,F15&lt;&gt;5),0,IF(AX8="○",1,2))</f>
        <v>2</v>
      </c>
      <c r="AI61" s="145"/>
      <c r="AJ61" s="142"/>
      <c r="AK61" s="970" t="s">
        <v>2381</v>
      </c>
      <c r="AL61" s="970"/>
      <c r="AM61" s="970"/>
      <c r="AN61" s="970"/>
      <c r="AO61" s="970"/>
      <c r="AP61" s="404">
        <f>IF(AX8="○",1,2)</f>
        <v>2</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2382</v>
      </c>
      <c r="V62" s="970"/>
      <c r="W62" s="970"/>
      <c r="X62" s="970"/>
      <c r="Y62" s="970"/>
      <c r="Z62" s="509" t="str">
        <f>IF(AND(B9&lt;&gt;"処遇加算なし",F15=4),IF(V40="✓",1,IF(V41="✓",2,"")),"")</f>
        <v/>
      </c>
      <c r="AA62" s="138"/>
      <c r="AB62" s="142"/>
      <c r="AC62" s="970" t="s">
        <v>2382</v>
      </c>
      <c r="AD62" s="970"/>
      <c r="AE62" s="970"/>
      <c r="AF62" s="970"/>
      <c r="AG62" s="970"/>
      <c r="AH62" s="404">
        <f>IF(AND(F15&lt;&gt;4,F15&lt;&gt;5),0,IF(AY8="○",1,2))</f>
        <v>2</v>
      </c>
      <c r="AI62" s="145"/>
      <c r="AJ62" s="142"/>
      <c r="AK62" s="970" t="s">
        <v>2382</v>
      </c>
      <c r="AL62" s="970"/>
      <c r="AM62" s="970"/>
      <c r="AN62" s="970"/>
      <c r="AO62" s="970"/>
      <c r="AP62" s="404">
        <f>IF(AY8="○",1,2)</f>
        <v>2</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2383</v>
      </c>
      <c r="V63" s="962"/>
      <c r="W63" s="962"/>
      <c r="X63" s="962"/>
      <c r="Y63" s="962"/>
      <c r="Z63" s="509" t="str">
        <f>IF(AND(B9&lt;&gt;"処遇加算なし",F15=4),IF(V44="✓",1,IF(V45="✓",2,"")),"")</f>
        <v/>
      </c>
      <c r="AA63" s="138"/>
      <c r="AB63" s="142"/>
      <c r="AC63" s="962" t="s">
        <v>2383</v>
      </c>
      <c r="AD63" s="962"/>
      <c r="AE63" s="962"/>
      <c r="AF63" s="962"/>
      <c r="AG63" s="962"/>
      <c r="AH63" s="404">
        <f>IF(AND(F15&lt;&gt;4,F15&lt;&gt;5),0,IF(AZ8="○",1,2))</f>
        <v>2</v>
      </c>
      <c r="AI63" s="145"/>
      <c r="AJ63" s="142"/>
      <c r="AK63" s="962" t="s">
        <v>2383</v>
      </c>
      <c r="AL63" s="962"/>
      <c r="AM63" s="962"/>
      <c r="AN63" s="962"/>
      <c r="AO63" s="962"/>
      <c r="AP63" s="404">
        <f>IF(AZ8="○",1,2)</f>
        <v>2</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ED3DB0FD-DFD0-4F28-9D90-A62F3A8DB771}">
      <formula1>0</formula1>
    </dataValidation>
    <dataValidation type="list" allowBlank="1" showInputMessage="1" showErrorMessage="1" sqref="AL41:AP41" xr:uid="{8D5D7109-A3DB-45A4-B00F-9EC4EFE16FA7}">
      <formula1>INDIRECT(BF1)</formula1>
    </dataValidation>
    <dataValidation type="list" allowBlank="1" showInputMessage="1" showErrorMessage="1" sqref="AD41:AH41" xr:uid="{02237E75-22F1-42C3-B2B1-1E4B379E338A}">
      <formula1>INDIRECT(BF1)</formula1>
    </dataValidation>
    <dataValidation type="textLength" operator="equal" allowBlank="1" showInputMessage="1" showErrorMessage="1" error="10桁の介護保険事業所番号を入力してください。_x000a_（桁数が異なるとエラーになります）" sqref="B5:F5" xr:uid="{95418043-FC18-4321-9AD7-3089E4F3765D}">
      <formula1>10</formula1>
    </dataValidation>
    <dataValidation type="list" allowBlank="1" showInputMessage="1" showErrorMessage="1" sqref="K15:K16 D15:D16" xr:uid="{ABC24DC7-8499-4951-ACA8-EBDCC0A62FFE}">
      <formula1>"6,7"</formula1>
    </dataValidation>
    <dataValidation type="list" allowBlank="1" showInputMessage="1" showErrorMessage="1" sqref="M15:M16" xr:uid="{78EB4302-B4C6-4729-AD7C-92D8290D1A2E}">
      <formula1>"1,2,3,6,7,8,9,10,11,12"</formula1>
    </dataValidation>
    <dataValidation type="list" allowBlank="1" showInputMessage="1" showErrorMessage="1" sqref="M5:O5" xr:uid="{F720C6CC-B863-4A30-844F-250814F10B93}">
      <formula1>INDIRECT(J5)</formula1>
    </dataValidation>
    <dataValidation type="list" allowBlank="1" showInputMessage="1" showErrorMessage="1" sqref="Y5:AD5" xr:uid="{A949FF44-2ED1-4E21-9498-91EB4FD89969}">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5B6F41-AB89-4986-A9D9-C02F5814B40D}">
          <x14:formula1>
            <xm:f>【参考】数式用!$B$4:$E$4</xm:f>
          </x14:formula1>
          <xm:sqref>B9:F9</xm:sqref>
        </x14:dataValidation>
        <x14:dataValidation type="list" allowBlank="1" showInputMessage="1" showErrorMessage="1" xr:uid="{9450D7FC-FF22-4C55-8535-1D92A96C68B9}">
          <x14:formula1>
            <xm:f>【参考】数式用!$F$4:$H$4</xm:f>
          </x14:formula1>
          <xm:sqref>G9</xm:sqref>
        </x14:dataValidation>
        <x14:dataValidation type="list" allowBlank="1" showInputMessage="1" showErrorMessage="1" xr:uid="{01D5881F-66A4-4798-8EB6-F3EACEABFE3A}">
          <x14:formula1>
            <xm:f>【参考】数式用!$I$4:$J$4</xm:f>
          </x14:formula1>
          <xm:sqref>L9</xm:sqref>
        </x14:dataValidation>
        <x14:dataValidation type="list" allowBlank="1" showInputMessage="1" showErrorMessage="1" xr:uid="{E097A9B1-496A-4464-BAA8-15C3AD78CF8F}">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1E06D-82A9-47BA-B6AD-2674BECC47B4}">
  <sheetPr codeName="Sheet13">
    <pageSetUpPr fitToPage="1"/>
  </sheetPr>
  <dimension ref="A1:CJ73"/>
  <sheetViews>
    <sheetView showGridLines="0" view="pageBreakPreview" topLeftCell="F1" zoomScaleNormal="53" zoomScaleSheetLayoutView="100" workbookViewId="0">
      <selection activeCell="AQ14" sqref="AQ14"/>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2332</v>
      </c>
      <c r="O1" s="997"/>
      <c r="P1" s="997"/>
      <c r="Q1" s="997"/>
      <c r="R1" s="997"/>
      <c r="S1" s="997"/>
      <c r="T1" s="997"/>
      <c r="U1" s="997"/>
      <c r="V1" s="997"/>
      <c r="W1" s="997"/>
      <c r="X1" s="997"/>
      <c r="Y1" s="997"/>
      <c r="Z1" s="997"/>
      <c r="AA1" s="997"/>
      <c r="AB1" s="997"/>
      <c r="AC1" s="997"/>
      <c r="AD1" s="997"/>
      <c r="AE1" s="997"/>
      <c r="AF1" s="1127" t="s">
        <v>25</v>
      </c>
      <c r="AG1" s="1127"/>
      <c r="AH1" s="1127"/>
      <c r="AI1" s="1128" t="str">
        <f>IF(G5="","",G5)</f>
        <v/>
      </c>
      <c r="AJ1" s="1128"/>
      <c r="AK1" s="1128"/>
      <c r="AL1" s="1128"/>
      <c r="AM1" s="1128"/>
      <c r="AN1" s="1128"/>
      <c r="AO1" s="1128"/>
      <c r="AP1" s="1128"/>
      <c r="AS1" s="958" t="str">
        <f>B9&amp;G9&amp;L9</f>
        <v/>
      </c>
      <c r="AT1" s="959"/>
      <c r="AU1" s="959"/>
      <c r="AV1" s="959"/>
      <c r="AW1" s="959"/>
      <c r="AX1" s="959"/>
      <c r="AY1" s="959"/>
      <c r="AZ1" s="959"/>
      <c r="BA1" s="959"/>
      <c r="BB1" s="959"/>
      <c r="BC1" s="959"/>
      <c r="BD1" s="959"/>
      <c r="BE1" s="960"/>
      <c r="BF1" s="957" t="str">
        <f>IFERROR(VLOOKUP(Y5,【参考】数式用!$AH$2:$AI$34,2,FALSE),"")</f>
        <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511"/>
      <c r="AR2" s="511"/>
      <c r="CE2" s="918" t="s">
        <v>2193</v>
      </c>
      <c r="CF2" s="918"/>
      <c r="CG2" s="918"/>
      <c r="CH2" s="918"/>
      <c r="CI2" s="1132" t="str">
        <f>IF(AI1&lt;&gt;"",1,"")</f>
        <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t="str">
        <f>IF(AND(L9="ベア加算",Q49="ベア加算"),1,"")</f>
        <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t="str">
        <f>IF(OR(OR(G49="処遇加算Ⅰ",G49="処遇加算Ⅱ"),OR(AS48="処遇加算Ⅰ",AS48="処遇加算Ⅱ")),1,"")</f>
        <v/>
      </c>
      <c r="CJ4" s="917"/>
    </row>
    <row r="5" spans="1:88" ht="33" customHeight="1">
      <c r="B5" s="1027"/>
      <c r="C5" s="1027"/>
      <c r="D5" s="1027"/>
      <c r="E5" s="1027"/>
      <c r="F5" s="1027"/>
      <c r="G5" s="1028"/>
      <c r="H5" s="1028"/>
      <c r="I5" s="1028"/>
      <c r="J5" s="1029"/>
      <c r="K5" s="1029"/>
      <c r="L5" s="1029"/>
      <c r="M5" s="1030"/>
      <c r="N5" s="1030"/>
      <c r="O5" s="1030"/>
      <c r="P5" s="1138"/>
      <c r="Q5" s="1139"/>
      <c r="R5" s="1139"/>
      <c r="S5" s="1139"/>
      <c r="T5" s="1139"/>
      <c r="U5" s="1139"/>
      <c r="V5" s="1139"/>
      <c r="W5" s="1139"/>
      <c r="X5" s="1140"/>
      <c r="Y5" s="1010"/>
      <c r="Z5" s="1010"/>
      <c r="AA5" s="1010"/>
      <c r="AB5" s="1010"/>
      <c r="AC5" s="1010"/>
      <c r="AD5" s="1010"/>
      <c r="AE5" s="923"/>
      <c r="AF5" s="924"/>
      <c r="AG5" s="924"/>
      <c r="AH5" s="925"/>
      <c r="AI5" s="923"/>
      <c r="AJ5" s="924"/>
      <c r="AK5" s="924"/>
      <c r="AL5" s="925"/>
      <c r="AM5" s="926">
        <f>AE5-AI5</f>
        <v>0</v>
      </c>
      <c r="AN5" s="927"/>
      <c r="AO5" s="927"/>
      <c r="AP5" s="928"/>
      <c r="AS5" s="80"/>
      <c r="AT5" s="911"/>
      <c r="AU5" s="911"/>
      <c r="AV5" s="911"/>
      <c r="AW5" s="911"/>
      <c r="AX5" s="911"/>
      <c r="AY5" s="911"/>
      <c r="AZ5" s="911"/>
      <c r="BA5" s="81"/>
      <c r="CE5" s="918" t="s">
        <v>2186</v>
      </c>
      <c r="CF5" s="918"/>
      <c r="CG5" s="918"/>
      <c r="CH5" s="918"/>
      <c r="CI5" s="916" t="str">
        <f>IF(OR(G49="処遇加算Ⅰ",AS48="処遇加算Ⅰ"),1,"")</f>
        <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t="str">
        <f>IF(OR(AH61=1,AP61=1),1,"")</f>
        <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
      </c>
      <c r="W8" s="930"/>
      <c r="X8" s="930"/>
      <c r="Y8" s="930"/>
      <c r="Z8" s="931"/>
      <c r="AA8" s="919" t="str">
        <f>IFERROR(VLOOKUP(AS1,【参考】数式用2!E6:L23,4,FALSE),"")</f>
        <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29" t="str">
        <f>IF(OR(V8="新加算Ⅰ",V8="新加算Ⅱ",V8="新加算Ⅲ",V8="新加算Ⅴ(１)",V8="新加算Ⅴ(３)",V8="新加算Ⅴ(８)"),"○","")</f>
        <v/>
      </c>
      <c r="AX8" s="1129" t="str">
        <f>IF(OR(V8="新加算Ⅰ",V8="新加算Ⅱ",V8="新加算Ⅴ(１)",V8="新加算Ⅴ(２)",V8="新加算Ⅴ(３)",V8="新加算Ⅴ(４)",V8="新加算Ⅴ(５)",V8="新加算Ⅴ(６)",V8="新加算Ⅴ(７)",V8="新加算Ⅴ(９)",V8="新加算Ⅴ(10)",V8="新加算Ⅴ(12)"),"○","")</f>
        <v/>
      </c>
      <c r="AY8" s="1129" t="str">
        <f>IF(OR(V8="新加算Ⅰ",V8="新加算Ⅴ(１)",V8="新加算Ⅴ(２)",V8="新加算Ⅴ(５)",V8="新加算Ⅴ(７)",V8="新加算Ⅴ(10)"),"○","")</f>
        <v/>
      </c>
      <c r="AZ8" s="1129" t="str">
        <f>IF(OR(V8="新加算Ⅰ",V8="新加算Ⅱ",V8="新加算Ⅴ(１)",V8="新加算Ⅴ(２)",V8="新加算Ⅴ(３)",V8="新加算Ⅴ(４)",V8="新加算Ⅴ(５)",V8="新加算Ⅴ(６)",V8="新加算Ⅴ(７)",V8="新加算Ⅴ(９)",V8="新加算Ⅴ(10)",V8="新加算Ⅴ(12)"),"○","")</f>
        <v/>
      </c>
      <c r="BA8" s="81"/>
      <c r="CE8" s="1136" t="s">
        <v>2188</v>
      </c>
      <c r="CF8" s="1136"/>
      <c r="CG8" s="1136"/>
      <c r="CH8" s="1136"/>
      <c r="CI8" s="916" t="str">
        <f>IF(AND(AP62=1,AL41=""),1,"")</f>
        <v/>
      </c>
      <c r="CJ8" s="917"/>
    </row>
    <row r="9" spans="1:88" ht="26.25" customHeight="1">
      <c r="B9" s="1048"/>
      <c r="C9" s="1049"/>
      <c r="D9" s="1049"/>
      <c r="E9" s="1049"/>
      <c r="F9" s="1050"/>
      <c r="G9" s="1051"/>
      <c r="H9" s="1052"/>
      <c r="I9" s="1052"/>
      <c r="J9" s="1052"/>
      <c r="K9" s="1053"/>
      <c r="L9" s="1054"/>
      <c r="M9" s="1055"/>
      <c r="N9" s="1055"/>
      <c r="O9" s="1055"/>
      <c r="P9" s="1056"/>
      <c r="Q9" s="1031" t="s">
        <v>2052</v>
      </c>
      <c r="R9" s="1032"/>
      <c r="S9" s="1032"/>
      <c r="T9" s="945"/>
      <c r="U9" s="946"/>
      <c r="V9" s="932" t="str">
        <f>IFERROR(VLOOKUP(Y5,【参考】数式用!$A$5:$AB$37,MATCH(V8,【参考】数式用!$B$4:$AB$4,0)+1,FALSE),"")</f>
        <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t="str">
        <f>IF(OR(AH62=1,AP62=1),1,"")</f>
        <v/>
      </c>
      <c r="CJ9" s="917"/>
    </row>
    <row r="10" spans="1:88" ht="11.25" customHeight="1">
      <c r="B10" s="1057" t="str">
        <f>IFERROR(VLOOKUP(Y5,【参考】数式用!$A$5:$J$37,MATCH(B9,【参考】数式用!$B$4:$J$4,0)+1,0),"")</f>
        <v/>
      </c>
      <c r="C10" s="1058"/>
      <c r="D10" s="1058"/>
      <c r="E10" s="1058"/>
      <c r="F10" s="1059"/>
      <c r="G10" s="1057" t="str">
        <f>IFERROR(VLOOKUP(Y5,【参考】数式用!$A$5:$J$37,MATCH(G9,【参考】数式用!$B$4:$J$4,0)+1,0),"")</f>
        <v/>
      </c>
      <c r="H10" s="1058"/>
      <c r="I10" s="1058"/>
      <c r="J10" s="1058"/>
      <c r="K10" s="1059"/>
      <c r="L10" s="1063" t="str">
        <f>IFERROR(VLOOKUP(Y5,【参考】数式用!$A$5:$J$37,MATCH(L9,【参考】数式用!$B$4:$J$4,0)+1,0),"")</f>
        <v/>
      </c>
      <c r="M10" s="1064"/>
      <c r="N10" s="1064"/>
      <c r="O10" s="1064"/>
      <c r="P10" s="1065"/>
      <c r="Q10" s="1069">
        <f>SUM(B10,G10,L10)</f>
        <v>0</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0</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
      </c>
      <c r="W11" s="999"/>
      <c r="X11" s="999"/>
      <c r="Y11" s="999"/>
      <c r="Z11" s="999"/>
      <c r="AA11" s="919" t="str">
        <f>IFERROR(VLOOKUP(AS1,【参考】数式用2!E6:L23,6,FALSE),"")</f>
        <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29" t="str">
        <f>IF(OR(V11="新加算Ⅰ",V11="新加算Ⅱ",V11="新加算Ⅲ",V11="新加算Ⅴ(１)",V11="新加算Ⅴ(３)",V11="新加算Ⅴ(８)"),"○","")</f>
        <v/>
      </c>
      <c r="AX11" s="1129" t="str">
        <f>IF(OR(V11="新加算Ⅰ",V11="新加算Ⅱ",V11="新加算Ⅴ(１)",V11="新加算Ⅴ(２)",V11="新加算Ⅴ(３)",V11="新加算Ⅴ(４)",V11="新加算Ⅴ(５)",V11="新加算Ⅴ(６)",V11="新加算Ⅴ(７)",V11="新加算Ⅴ(９)",V11="新加算Ⅴ(10)",V11="新加算Ⅴ(12)"),"○","")</f>
        <v/>
      </c>
      <c r="AY11" s="1129" t="str">
        <f>IF(OR(V11="新加算Ⅰ",V11="新加算Ⅴ(１)",V11="新加算Ⅴ(２)",V11="新加算Ⅴ(５)",V11="新加算Ⅴ(７)",V11="新加算Ⅴ(10)"),"○","")</f>
        <v/>
      </c>
      <c r="AZ11" s="1129" t="str">
        <f>IF(OR(V11="新加算Ⅰ",V11="新加算Ⅱ",V11="新加算Ⅴ(１)",V11="新加算Ⅴ(２)",V11="新加算Ⅴ(３)",V11="新加算Ⅴ(４)",V11="新加算Ⅴ(５)",V11="新加算Ⅴ(６)",V11="新加算Ⅴ(７)",V11="新加算Ⅴ(９)",V11="新加算Ⅴ(10)",V11="新加算Ⅴ(12)"),"○","")</f>
        <v/>
      </c>
      <c r="BA11" s="97"/>
    </row>
    <row r="12" spans="1:88" ht="25.5" customHeight="1" thickBot="1">
      <c r="A12" s="75"/>
      <c r="B12" s="102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26"/>
      <c r="D12" s="1026"/>
      <c r="E12" s="1026"/>
      <c r="F12" s="1026"/>
      <c r="G12" s="1026"/>
      <c r="H12" s="1026"/>
      <c r="I12" s="1026"/>
      <c r="J12" s="1026"/>
      <c r="K12" s="1026"/>
      <c r="L12" s="1026"/>
      <c r="M12" s="1026"/>
      <c r="N12" s="1026"/>
      <c r="O12" s="1026"/>
      <c r="P12" s="1026"/>
      <c r="Q12" s="1026"/>
      <c r="R12" s="1026"/>
      <c r="S12" s="1026"/>
      <c r="T12" s="956"/>
      <c r="U12" s="946"/>
      <c r="V12" s="1137" t="str">
        <f>IFERROR(VLOOKUP(Y5,【参考】数式用!$A$5:$AB$37,MATCH(V11,【参考】数式用!$B$4:$AB$4,0)+1,FALSE),"")</f>
        <v/>
      </c>
      <c r="W12" s="1137"/>
      <c r="X12" s="1137"/>
      <c r="Y12" s="1137"/>
      <c r="Z12" s="1137"/>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508"/>
      <c r="V14" s="999" t="str">
        <f>IFERROR(IF(VLOOKUP(AS1,【参考】数式用2!E6:L23,7,FALSE)="","",VLOOKUP(AS1,【参考】数式用2!E6:L23,7,FALSE)),"")</f>
        <v/>
      </c>
      <c r="W14" s="999"/>
      <c r="X14" s="999"/>
      <c r="Y14" s="999"/>
      <c r="Z14" s="999"/>
      <c r="AA14" s="948" t="str">
        <f>IFERROR(VLOOKUP(AS1,【参考】数式用2!E6:L23,8,FALSE),"")</f>
        <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54">
        <v>6</v>
      </c>
      <c r="E15" s="512" t="s">
        <v>2111</v>
      </c>
      <c r="F15" s="54">
        <v>4</v>
      </c>
      <c r="G15" s="512" t="s">
        <v>2112</v>
      </c>
      <c r="H15" s="983" t="s">
        <v>2113</v>
      </c>
      <c r="I15" s="983"/>
      <c r="J15" s="996"/>
      <c r="K15" s="54">
        <v>7</v>
      </c>
      <c r="L15" s="512" t="s">
        <v>2111</v>
      </c>
      <c r="M15" s="54">
        <v>3</v>
      </c>
      <c r="N15" s="512" t="s">
        <v>2112</v>
      </c>
      <c r="O15" s="512" t="s">
        <v>2114</v>
      </c>
      <c r="P15" s="99">
        <f>(K15*12+M15)-(D15*12+F15)+1</f>
        <v>12</v>
      </c>
      <c r="Q15" s="983" t="s">
        <v>2115</v>
      </c>
      <c r="R15" s="983"/>
      <c r="S15" s="100" t="s">
        <v>69</v>
      </c>
      <c r="U15" s="508"/>
      <c r="V15" s="984" t="str">
        <f>IFERROR(VLOOKUP(Y5,【参考】数式用!$A$5:$AB$37,MATCH(V14,【参考】数式用!$B$4:$AB$4,0)+1,FALSE),"")</f>
        <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508"/>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510"/>
      <c r="U17" s="510"/>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513" t="str">
        <f>IFERROR(IF(L9="ベア加算","✓",""),"")</f>
        <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513" t="str">
        <f>IFERROR(IF(OR(B9="処遇加算Ⅰ",B9="処遇加算Ⅱ"),"✓",""),"")</f>
        <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513" t="str">
        <f>IFERROR(IF(B9="処遇加算Ⅲ","✓",""),"")</f>
        <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513"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513" t="str">
        <f>IFERROR(IF(OR(B9="処遇加算Ⅰ",B9="処遇加算Ⅱ"),"✓",""),"")</f>
        <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513" t="str">
        <f>IFERROR(IF(B9="処遇加算Ⅲ","✓",""),"")</f>
        <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513"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513" t="str">
        <f>IFERROR(IF(B9="処遇加算Ⅰ","✓",""),"")</f>
        <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513" t="str">
        <f>IFERROR(IF(AND(B9&lt;&gt;"",B9&lt;&gt;"処遇加算Ⅰ"),"✓",""),"")</f>
        <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513" t="str">
        <f>IFERROR(IF(OR(G9="特定加算Ⅰ",G9="特定加算Ⅱ"),"✓",""),"")</f>
        <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513" t="str">
        <f>IFERROR(IF(G9="特定加算なし","✓",""),"")</f>
        <v/>
      </c>
      <c r="W37" s="977" t="s">
        <v>15</v>
      </c>
      <c r="X37" s="978"/>
      <c r="Y37" s="978"/>
      <c r="Z37" s="979"/>
      <c r="AA37" s="945"/>
      <c r="AB37" s="946"/>
      <c r="AC37" s="971" t="s">
        <v>2176</v>
      </c>
      <c r="AD37" s="972"/>
      <c r="AE37" s="972"/>
      <c r="AF37" s="972"/>
      <c r="AG37" s="973"/>
      <c r="AH37" s="974"/>
      <c r="AI37" s="945"/>
      <c r="AJ37" s="946"/>
      <c r="AK37" s="971" t="s">
        <v>2176</v>
      </c>
      <c r="AL37" s="972"/>
      <c r="AM37" s="972"/>
      <c r="AN37" s="972"/>
      <c r="AO37" s="973"/>
      <c r="AP37" s="974"/>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c>
      <c r="H40" s="1001"/>
      <c r="I40" s="1001"/>
      <c r="J40" s="1001"/>
      <c r="K40" s="1001"/>
      <c r="L40" s="1001"/>
      <c r="M40" s="1001"/>
      <c r="N40" s="1001"/>
      <c r="O40" s="1001"/>
      <c r="P40" s="1001"/>
      <c r="Q40" s="1001"/>
      <c r="R40" s="1001"/>
      <c r="S40" s="1001"/>
      <c r="T40" s="1002"/>
      <c r="U40" s="89"/>
      <c r="V40" s="513" t="str">
        <f>IFERROR(IF(G9="特定加算Ⅰ","✓",""),"")</f>
        <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513" t="str">
        <f>IFERROR(IF(OR(G9="特定加算Ⅱ",G9="特定加算なし"),"✓",""),"")</f>
        <v/>
      </c>
      <c r="W41" s="977" t="s">
        <v>15</v>
      </c>
      <c r="X41" s="978"/>
      <c r="Y41" s="978"/>
      <c r="Z41" s="979"/>
      <c r="AA41" s="945"/>
      <c r="AB41" s="946"/>
      <c r="AC41" s="127" t="s">
        <v>83</v>
      </c>
      <c r="AD41" s="1084"/>
      <c r="AE41" s="1085"/>
      <c r="AF41" s="1085"/>
      <c r="AG41" s="1085"/>
      <c r="AH41" s="1086"/>
      <c r="AI41" s="945"/>
      <c r="AJ41" s="946"/>
      <c r="AK41" s="127" t="s">
        <v>83</v>
      </c>
      <c r="AL41" s="1084"/>
      <c r="AM41" s="1085"/>
      <c r="AN41" s="1085"/>
      <c r="AO41" s="1085"/>
      <c r="AP41" s="1086"/>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510"/>
      <c r="AB42" s="510"/>
      <c r="AC42" s="129"/>
      <c r="AD42" s="955" t="s">
        <v>15</v>
      </c>
      <c r="AE42" s="955"/>
      <c r="AF42" s="955"/>
      <c r="AG42" s="955"/>
      <c r="AH42" s="955"/>
      <c r="AI42" s="510"/>
      <c r="AJ42" s="510"/>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2375</v>
      </c>
      <c r="H44" s="1001"/>
      <c r="I44" s="1001"/>
      <c r="J44" s="1001"/>
      <c r="K44" s="1001"/>
      <c r="L44" s="1001"/>
      <c r="M44" s="1001"/>
      <c r="N44" s="1001"/>
      <c r="O44" s="1001"/>
      <c r="P44" s="1001"/>
      <c r="Q44" s="1001"/>
      <c r="R44" s="1001"/>
      <c r="S44" s="1001"/>
      <c r="T44" s="1002"/>
      <c r="U44" s="112"/>
      <c r="V44" s="513" t="str">
        <f>IFERROR(IF(OR(G9="特定加算Ⅰ",G9="特定加算Ⅱ"),"✓",""),"")</f>
        <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513" t="str">
        <f>IFERROR(IF(G9="特定加算なし","✓",""),"")</f>
        <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
      </c>
      <c r="AT48" s="964"/>
      <c r="AU48" s="964"/>
      <c r="AV48" s="964"/>
      <c r="AW48" s="965" t="str">
        <f>IFERROR(IF(AND(AP61=1,AP62=1,AP63=1),"特定加算Ⅰ",IF(AND(AP61=1,AP62=2,AP63=1),"特定加算Ⅱ",IF(OR(AP61=2,AP62=2,AP63=2),"特定加算なし",""))),"")</f>
        <v>特定加算なし</v>
      </c>
      <c r="AX48" s="965"/>
      <c r="AY48" s="965"/>
      <c r="AZ48" s="965"/>
      <c r="BA48" s="964" t="str">
        <f>IFERROR(IF(OR(L9="ベア加算",AP57=1),"ベア加算",IF(AP57=2,"ベア加算なし","")),"")</f>
        <v/>
      </c>
      <c r="BB48" s="964"/>
      <c r="BC48" s="964"/>
      <c r="BD48" s="964"/>
      <c r="BE48" s="966" t="str">
        <f>AS48&amp;AW48&amp;BA48</f>
        <v>特定加算なし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
      </c>
      <c r="H49" s="1088"/>
      <c r="I49" s="1088"/>
      <c r="J49" s="1088"/>
      <c r="K49" s="1113"/>
      <c r="L49" s="1118" t="str">
        <f>IFERROR(IF(G9="","",IF(AND(AH61=1,AH62=1,AH63=1),"特定加算Ⅰ",IF(AND(AH61=1,AH62=2,AH63=1),"特定加算Ⅱ",IF(OR(AH61=2,AH62=2,AH63=2),"特定加算なし","")))),"")</f>
        <v/>
      </c>
      <c r="M49" s="1119"/>
      <c r="N49" s="1119"/>
      <c r="O49" s="1119"/>
      <c r="P49" s="1120"/>
      <c r="Q49" s="1087" t="str">
        <f>IFERROR(IF(OR(L9="ベア加算",AND(L9="ベア加算なし",AH57=1)),"ベア加算",IF(AH57=2,"ベア加算なし","")),"")</f>
        <v/>
      </c>
      <c r="R49" s="1088"/>
      <c r="S49" s="1088"/>
      <c r="T49" s="1088"/>
      <c r="U49" s="1089"/>
      <c r="V49" s="1090" t="s">
        <v>10</v>
      </c>
      <c r="W49" s="1091"/>
      <c r="X49" s="1091"/>
      <c r="Y49" s="1091"/>
      <c r="Z49" s="1091"/>
      <c r="AA49" s="956"/>
      <c r="AB49" s="956"/>
      <c r="AC49" s="1097" t="str">
        <f>IFERROR(VLOOKUP(BE48,【参考】数式用2!E6:F23,2,FALSE),"")</f>
        <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t="str">
        <f>IFERROR(VLOOKUP(Y5,【参考】数式用!$A$5:$J$37,MATCH(G49,【参考】数式用!$B$4:$J$4,0)+1,0),"")</f>
        <v/>
      </c>
      <c r="H50" s="1101"/>
      <c r="I50" s="1101"/>
      <c r="J50" s="1101"/>
      <c r="K50" s="1102"/>
      <c r="L50" s="1103" t="str">
        <f>IFERROR(VLOOKUP(Y5,【参考】数式用!$A$5:$J$37,MATCH(L49,【参考】数式用!$B$4:$J$4,0)+1,0),"")</f>
        <v/>
      </c>
      <c r="M50" s="1104"/>
      <c r="N50" s="1104"/>
      <c r="O50" s="1104"/>
      <c r="P50" s="1105"/>
      <c r="Q50" s="1106" t="str">
        <f>IFERROR(VLOOKUP(Y5,【参考】数式用!$A$5:$J$37,MATCH(Q49,【参考】数式用!$B$4:$J$4,0)+1,0),"")</f>
        <v/>
      </c>
      <c r="R50" s="1101"/>
      <c r="S50" s="1101"/>
      <c r="T50" s="1101"/>
      <c r="U50" s="1107"/>
      <c r="V50" s="1069">
        <f>SUM(G50,L50,Q50)</f>
        <v>0</v>
      </c>
      <c r="W50" s="1070"/>
      <c r="X50" s="1070"/>
      <c r="Y50" s="1070"/>
      <c r="Z50" s="1070"/>
      <c r="AA50" s="956"/>
      <c r="AB50" s="956"/>
      <c r="AC50" s="1108" t="str">
        <f>IFERROR(VLOOKUP(Y5,【参考】数式用!$A$5:$AB$37,MATCH(AC49,【参考】数式用!$B$4:$AB$4,0)+1,FALSE),"")</f>
        <v/>
      </c>
      <c r="AD50" s="1109"/>
      <c r="AE50" s="1109"/>
      <c r="AF50" s="1109"/>
      <c r="AG50" s="1109"/>
      <c r="AH50" s="1110"/>
      <c r="AS50" s="962" t="s">
        <v>2047</v>
      </c>
      <c r="AT50" s="962"/>
      <c r="AU50" s="962"/>
      <c r="AV50" s="962"/>
      <c r="AW50" s="962" t="s">
        <v>2048</v>
      </c>
      <c r="AX50" s="962"/>
      <c r="AY50" s="962"/>
      <c r="AZ50" s="962"/>
      <c r="BA50" s="962" t="s">
        <v>13</v>
      </c>
      <c r="BB50" s="962"/>
      <c r="BC50" s="962"/>
      <c r="BD50" s="962"/>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t="str">
        <f>IFERROR(ROUNDDOWN(ROUND(AM5*G50,0),0)*H53,"")</f>
        <v/>
      </c>
      <c r="H51" s="1016"/>
      <c r="I51" s="1016"/>
      <c r="J51" s="1016"/>
      <c r="K51" s="55" t="s">
        <v>2117</v>
      </c>
      <c r="L51" s="1013" t="str">
        <f>IFERROR(ROUNDDOWN(ROUND(AM5*L50,0),0)*H53,"")</f>
        <v/>
      </c>
      <c r="M51" s="1014"/>
      <c r="N51" s="1014"/>
      <c r="O51" s="1014"/>
      <c r="P51" s="55" t="s">
        <v>2117</v>
      </c>
      <c r="Q51" s="1015" t="str">
        <f>IFERROR(ROUNDDOWN(ROUND(AM5*Q50,0),0)*H53,"")</f>
        <v/>
      </c>
      <c r="R51" s="1016"/>
      <c r="S51" s="1016"/>
      <c r="T51" s="1016"/>
      <c r="U51" s="56" t="s">
        <v>2117</v>
      </c>
      <c r="V51" s="1116">
        <f>IFERROR(SUM(G51,L51,Q51),"")</f>
        <v>0</v>
      </c>
      <c r="W51" s="1117"/>
      <c r="X51" s="1117"/>
      <c r="Y51" s="1117"/>
      <c r="Z51" s="57" t="s">
        <v>2117</v>
      </c>
      <c r="AB51" s="58"/>
      <c r="AC51" s="1015" t="str">
        <f>IFERROR(ROUNDDOWN(ROUND(AM5*AC50,0),0)*AD53,"")</f>
        <v/>
      </c>
      <c r="AD51" s="1016"/>
      <c r="AE51" s="1016"/>
      <c r="AF51" s="1016"/>
      <c r="AG51" s="1016"/>
      <c r="AH51" s="56" t="s">
        <v>2117</v>
      </c>
      <c r="AS51" s="967" t="str">
        <f>IFERROR(ROUNDDOWN(ROUND(AM5*(G50-B10),0),0)*H53,"")</f>
        <v/>
      </c>
      <c r="AT51" s="967"/>
      <c r="AU51" s="967"/>
      <c r="AV51" s="967"/>
      <c r="AW51" s="967" t="str">
        <f>IFERROR(ROUNDDOWN(ROUND(AM5*(L50-G10),0),0)*H53,"")</f>
        <v/>
      </c>
      <c r="AX51" s="967"/>
      <c r="AY51" s="967"/>
      <c r="AZ51" s="967"/>
      <c r="BA51" s="967" t="str">
        <f>IFERROR(ROUNDDOWN(ROUND(AM5*(Q50-L10),0),0)*H53,"")</f>
        <v/>
      </c>
      <c r="BB51" s="967"/>
      <c r="BC51" s="967"/>
      <c r="BD51" s="967"/>
      <c r="BE51" s="967" t="str">
        <f>IFERROR(ROUNDDOWN(ROUND(AM5*(AC50-Q10),0),0)*AD53,"")</f>
        <v/>
      </c>
      <c r="BF51" s="967"/>
      <c r="BG51" s="967"/>
      <c r="BH51" s="967"/>
      <c r="BI51" s="967">
        <f>SUM(AS51:BH51)</f>
        <v>0</v>
      </c>
      <c r="BJ51" s="967"/>
      <c r="BK51" s="967"/>
      <c r="BL51" s="967"/>
      <c r="BM51" s="134"/>
      <c r="BN51" s="967" t="str">
        <f>IFERROR(ROUNDDOWN(ROUNDDOWN(ROUND(AM5*(VLOOKUP(Y5,【参考】数式用!$A$5:$AB$37,14,FALSE)),0),0)*AD53*0.5,0),"")</f>
        <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
      </c>
      <c r="H52" s="1012"/>
      <c r="I52" s="1012"/>
      <c r="J52" s="1012"/>
      <c r="K52" s="1012"/>
      <c r="L52" s="1114" t="str">
        <f>IFERROR("("&amp;TEXT(L51/H53,"#,##0円")&amp;"/月)","")</f>
        <v/>
      </c>
      <c r="M52" s="1115"/>
      <c r="N52" s="1115"/>
      <c r="O52" s="1115"/>
      <c r="P52" s="1011"/>
      <c r="Q52" s="1012" t="str">
        <f>IFERROR("("&amp;TEXT(Q51/H53,"#,##0円")&amp;"/月)","")</f>
        <v/>
      </c>
      <c r="R52" s="1012"/>
      <c r="S52" s="1012"/>
      <c r="T52" s="1012"/>
      <c r="U52" s="1012"/>
      <c r="V52" s="1012" t="str">
        <f>IFERROR("("&amp;TEXT(V51/H53,"#,##0円")&amp;"/月)","")</f>
        <v>(0円/月)</v>
      </c>
      <c r="W52" s="1012"/>
      <c r="X52" s="1012"/>
      <c r="Y52" s="1012"/>
      <c r="Z52" s="1012"/>
      <c r="AB52" s="58"/>
      <c r="AC52" s="1114" t="str">
        <f>IFERROR("("&amp;TEXT(AC51/AD53,"#,##0円")&amp;"/月)","")</f>
        <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2376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2377</v>
      </c>
      <c r="V57" s="962"/>
      <c r="W57" s="962"/>
      <c r="X57" s="962"/>
      <c r="Y57" s="962"/>
      <c r="Z57" s="509" t="str">
        <f>IF(AND(B9&lt;&gt;"処遇加算なし",F15=4),IF(V21="✓",1,IF(V22="✓",2,"")),"")</f>
        <v/>
      </c>
      <c r="AA57" s="138"/>
      <c r="AB57" s="142"/>
      <c r="AC57" s="962" t="s">
        <v>2377</v>
      </c>
      <c r="AD57" s="962"/>
      <c r="AE57" s="962"/>
      <c r="AF57" s="962"/>
      <c r="AG57" s="962"/>
      <c r="AH57" s="404">
        <f>IF(AND(F15&lt;&gt;4,F15&lt;&gt;5),0,IF(AT8="○",1,0))</f>
        <v>0</v>
      </c>
      <c r="AI57" s="145"/>
      <c r="AJ57" s="142"/>
      <c r="AK57" s="962" t="s">
        <v>2377</v>
      </c>
      <c r="AL57" s="962"/>
      <c r="AM57" s="962"/>
      <c r="AN57" s="962"/>
      <c r="AO57" s="962"/>
      <c r="AP57" s="404">
        <f>IF(AT8="○",1,0)</f>
        <v>0</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2378</v>
      </c>
      <c r="V58" s="970"/>
      <c r="W58" s="970"/>
      <c r="X58" s="970"/>
      <c r="Y58" s="970"/>
      <c r="Z58" s="509" t="str">
        <f>IF(AND(B9&lt;&gt;"処遇加算なし",F15=4),IF(V24="✓",1,IF(V25="✓",2,IF(V26="✓",3,""))),"")</f>
        <v/>
      </c>
      <c r="AA58" s="138"/>
      <c r="AB58" s="142"/>
      <c r="AC58" s="970" t="s">
        <v>2378</v>
      </c>
      <c r="AD58" s="970"/>
      <c r="AE58" s="970"/>
      <c r="AF58" s="970"/>
      <c r="AG58" s="970"/>
      <c r="AH58" s="404">
        <f>IF(AND(F15&lt;&gt;4,F15&lt;&gt;5),0,IF(AU8="○",1,3))</f>
        <v>3</v>
      </c>
      <c r="AI58" s="145"/>
      <c r="AJ58" s="142"/>
      <c r="AK58" s="970" t="s">
        <v>2378</v>
      </c>
      <c r="AL58" s="970"/>
      <c r="AM58" s="970"/>
      <c r="AN58" s="970"/>
      <c r="AO58" s="970"/>
      <c r="AP58" s="404">
        <f>IF(AU8="○",1,3)</f>
        <v>3</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2379</v>
      </c>
      <c r="V59" s="970"/>
      <c r="W59" s="970"/>
      <c r="X59" s="970"/>
      <c r="Y59" s="970"/>
      <c r="Z59" s="509" t="str">
        <f>IF(AND(B9&lt;&gt;"処遇加算なし",F15=4),IF(V28="✓",1,IF(V29="✓",2,IF(V30="✓",3,""))),"")</f>
        <v/>
      </c>
      <c r="AA59" s="138"/>
      <c r="AB59" s="142"/>
      <c r="AC59" s="970" t="s">
        <v>2379</v>
      </c>
      <c r="AD59" s="970"/>
      <c r="AE59" s="970"/>
      <c r="AF59" s="970"/>
      <c r="AG59" s="970"/>
      <c r="AH59" s="404">
        <f>IF(AND(F15&lt;&gt;4,F15&lt;&gt;5),0,IF(AV8="○",1,3))</f>
        <v>3</v>
      </c>
      <c r="AI59" s="145"/>
      <c r="AJ59" s="142"/>
      <c r="AK59" s="970" t="s">
        <v>2379</v>
      </c>
      <c r="AL59" s="970"/>
      <c r="AM59" s="970"/>
      <c r="AN59" s="970"/>
      <c r="AO59" s="970"/>
      <c r="AP59" s="404">
        <f>IF(AV8="○",1,3)</f>
        <v>3</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2380</v>
      </c>
      <c r="V60" s="970"/>
      <c r="W60" s="970"/>
      <c r="X60" s="970"/>
      <c r="Y60" s="970"/>
      <c r="Z60" s="509" t="str">
        <f>IF(AND(B9&lt;&gt;"処遇加算なし",F15=4),IF(V32="✓",1,IF(V33="✓",2,"")),"")</f>
        <v/>
      </c>
      <c r="AA60" s="138"/>
      <c r="AB60" s="142"/>
      <c r="AC60" s="970" t="s">
        <v>2380</v>
      </c>
      <c r="AD60" s="970"/>
      <c r="AE60" s="970"/>
      <c r="AF60" s="970"/>
      <c r="AG60" s="970"/>
      <c r="AH60" s="404">
        <f>IF(AND(F15&lt;&gt;4,F15&lt;&gt;5),0,IF(AW8="○",1,3))</f>
        <v>3</v>
      </c>
      <c r="AI60" s="145"/>
      <c r="AJ60" s="142"/>
      <c r="AK60" s="970" t="s">
        <v>2380</v>
      </c>
      <c r="AL60" s="970"/>
      <c r="AM60" s="970"/>
      <c r="AN60" s="970"/>
      <c r="AO60" s="970"/>
      <c r="AP60" s="404">
        <f>IF(AW8="○",1,3)</f>
        <v>3</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2381</v>
      </c>
      <c r="V61" s="970"/>
      <c r="W61" s="970"/>
      <c r="X61" s="970"/>
      <c r="Y61" s="970"/>
      <c r="Z61" s="509" t="str">
        <f>IF(AND(B9&lt;&gt;"処遇加算なし",F15=4),IF(V36="✓",1,IF(V37="✓",2,"")),"")</f>
        <v/>
      </c>
      <c r="AA61" s="138"/>
      <c r="AB61" s="142"/>
      <c r="AC61" s="970" t="s">
        <v>2381</v>
      </c>
      <c r="AD61" s="970"/>
      <c r="AE61" s="970"/>
      <c r="AF61" s="970"/>
      <c r="AG61" s="970"/>
      <c r="AH61" s="404">
        <f>IF(AND(F15&lt;&gt;4,F15&lt;&gt;5),0,IF(AX8="○",1,2))</f>
        <v>2</v>
      </c>
      <c r="AI61" s="145"/>
      <c r="AJ61" s="142"/>
      <c r="AK61" s="970" t="s">
        <v>2381</v>
      </c>
      <c r="AL61" s="970"/>
      <c r="AM61" s="970"/>
      <c r="AN61" s="970"/>
      <c r="AO61" s="970"/>
      <c r="AP61" s="404">
        <f>IF(AX8="○",1,2)</f>
        <v>2</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2382</v>
      </c>
      <c r="V62" s="970"/>
      <c r="W62" s="970"/>
      <c r="X62" s="970"/>
      <c r="Y62" s="970"/>
      <c r="Z62" s="509" t="str">
        <f>IF(AND(B9&lt;&gt;"処遇加算なし",F15=4),IF(V40="✓",1,IF(V41="✓",2,"")),"")</f>
        <v/>
      </c>
      <c r="AA62" s="138"/>
      <c r="AB62" s="142"/>
      <c r="AC62" s="970" t="s">
        <v>2382</v>
      </c>
      <c r="AD62" s="970"/>
      <c r="AE62" s="970"/>
      <c r="AF62" s="970"/>
      <c r="AG62" s="970"/>
      <c r="AH62" s="404">
        <f>IF(AND(F15&lt;&gt;4,F15&lt;&gt;5),0,IF(AY8="○",1,2))</f>
        <v>2</v>
      </c>
      <c r="AI62" s="145"/>
      <c r="AJ62" s="142"/>
      <c r="AK62" s="970" t="s">
        <v>2382</v>
      </c>
      <c r="AL62" s="970"/>
      <c r="AM62" s="970"/>
      <c r="AN62" s="970"/>
      <c r="AO62" s="970"/>
      <c r="AP62" s="404">
        <f>IF(AY8="○",1,2)</f>
        <v>2</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2383</v>
      </c>
      <c r="V63" s="962"/>
      <c r="W63" s="962"/>
      <c r="X63" s="962"/>
      <c r="Y63" s="962"/>
      <c r="Z63" s="509" t="str">
        <f>IF(AND(B9&lt;&gt;"処遇加算なし",F15=4),IF(V44="✓",1,IF(V45="✓",2,"")),"")</f>
        <v/>
      </c>
      <c r="AA63" s="138"/>
      <c r="AB63" s="142"/>
      <c r="AC63" s="962" t="s">
        <v>2383</v>
      </c>
      <c r="AD63" s="962"/>
      <c r="AE63" s="962"/>
      <c r="AF63" s="962"/>
      <c r="AG63" s="962"/>
      <c r="AH63" s="404">
        <f>IF(AND(F15&lt;&gt;4,F15&lt;&gt;5),0,IF(AZ8="○",1,2))</f>
        <v>2</v>
      </c>
      <c r="AI63" s="145"/>
      <c r="AJ63" s="142"/>
      <c r="AK63" s="962" t="s">
        <v>2383</v>
      </c>
      <c r="AL63" s="962"/>
      <c r="AM63" s="962"/>
      <c r="AN63" s="962"/>
      <c r="AO63" s="962"/>
      <c r="AP63" s="404">
        <f>IF(AZ8="○",1,2)</f>
        <v>2</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xr:uid="{117638E6-A0F1-4243-AB44-59B9EBE026B4}">
      <formula1>サービス名</formula1>
    </dataValidation>
    <dataValidation type="list" allowBlank="1" showInputMessage="1" showErrorMessage="1" sqref="M5:O5" xr:uid="{A33AB057-C108-4AC9-BBCC-E58A7D1835F8}">
      <formula1>INDIRECT(J5)</formula1>
    </dataValidation>
    <dataValidation type="list" allowBlank="1" showInputMessage="1" showErrorMessage="1" sqref="M15:M16" xr:uid="{20F35AB8-F1A6-499A-BA01-CFBC31B2FD1C}">
      <formula1>"1,2,3,6,7,8,9,10,11,12"</formula1>
    </dataValidation>
    <dataValidation type="list" allowBlank="1" showInputMessage="1" showErrorMessage="1" sqref="K15:K16 D15:D16" xr:uid="{8AB89443-DB63-4B74-97C4-DD1D9B337E49}">
      <formula1>"6,7"</formula1>
    </dataValidation>
    <dataValidation type="textLength" operator="equal" allowBlank="1" showInputMessage="1" showErrorMessage="1" error="10桁の介護保険事業所番号を入力してください。_x000a_（桁数が異なるとエラーになります）" sqref="B5:F5" xr:uid="{AD86336B-E075-4B71-9439-B04802DD648F}">
      <formula1>10</formula1>
    </dataValidation>
    <dataValidation type="list" allowBlank="1" showInputMessage="1" showErrorMessage="1" sqref="AD41:AH41" xr:uid="{53AD89C1-599A-42B6-A29B-2752DD8C8D01}">
      <formula1>INDIRECT(BF1)</formula1>
    </dataValidation>
    <dataValidation type="list" allowBlank="1" showInputMessage="1" showErrorMessage="1" sqref="AL41:AP41" xr:uid="{45222241-A7EA-4DD6-AFA8-1B272B79FA83}">
      <formula1>INDIRECT(BF1)</formula1>
    </dataValidation>
    <dataValidation type="whole" operator="greaterThanOrEqual" allowBlank="1" showInputMessage="1" showErrorMessage="1" prompt="要件を満たす職員数を記入してください。" sqref="AG37:AH37 AO37:AP37" xr:uid="{09850B21-D46D-4E3E-8AE8-46B5ADB160C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EA0954F1-14F6-459E-AE1B-3FCFF7B31ECE}">
          <x14:formula1>
            <xm:f>【参考】数式用3!$A$3:$A$49</xm:f>
          </x14:formula1>
          <xm:sqref>J5:L5</xm:sqref>
        </x14:dataValidation>
        <x14:dataValidation type="list" allowBlank="1" showInputMessage="1" showErrorMessage="1" xr:uid="{C3072A16-F489-4DCF-964A-FD6BD0543D62}">
          <x14:formula1>
            <xm:f>【参考】数式用!$I$4:$J$4</xm:f>
          </x14:formula1>
          <xm:sqref>L9</xm:sqref>
        </x14:dataValidation>
        <x14:dataValidation type="list" allowBlank="1" showInputMessage="1" showErrorMessage="1" xr:uid="{CE53A4DE-3E00-48E9-9B42-3F9F62923534}">
          <x14:formula1>
            <xm:f>【参考】数式用!$F$4:$H$4</xm:f>
          </x14:formula1>
          <xm:sqref>G9</xm:sqref>
        </x14:dataValidation>
        <x14:dataValidation type="list" allowBlank="1" showInputMessage="1" showErrorMessage="1" xr:uid="{D1767737-AB6E-4FF1-93A4-E9CA78E5FC2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8E1C7-267B-4336-A404-85C6455E0A93}">
  <sheetPr codeName="Sheet14">
    <pageSetUpPr fitToPage="1"/>
  </sheetPr>
  <dimension ref="A1:CJ73"/>
  <sheetViews>
    <sheetView showGridLines="0" view="pageBreakPreview" topLeftCell="F1" zoomScaleNormal="53" zoomScaleSheetLayoutView="100" workbookViewId="0">
      <selection activeCell="AM5" sqref="AM5:AP5"/>
    </sheetView>
  </sheetViews>
  <sheetFormatPr defaultRowHeight="13.5"/>
  <cols>
    <col min="1" max="1" width="1.625" style="69" customWidth="1"/>
    <col min="2" max="6" width="2.5" style="69" customWidth="1"/>
    <col min="7" max="9" width="2.125" style="69" customWidth="1"/>
    <col min="10" max="10" width="1.875" style="69" customWidth="1"/>
    <col min="11" max="12" width="2.125" style="69" customWidth="1"/>
    <col min="13" max="13" width="2.375" style="69" customWidth="1"/>
    <col min="14" max="15" width="2.125" style="69" customWidth="1"/>
    <col min="16" max="16" width="2.75" style="69" customWidth="1"/>
    <col min="17" max="19" width="2.125" style="69" customWidth="1"/>
    <col min="20" max="20" width="1.375" style="69" customWidth="1"/>
    <col min="21" max="30" width="2.125" style="69" customWidth="1"/>
    <col min="31" max="31" width="2.5" style="69" customWidth="1"/>
    <col min="32" max="32" width="2.75" style="69" customWidth="1"/>
    <col min="33" max="38" width="2.125" style="69" customWidth="1"/>
    <col min="39" max="39" width="2.75" style="69" customWidth="1"/>
    <col min="40" max="40" width="2.5" style="69" customWidth="1"/>
    <col min="41" max="42" width="2.125" style="69" customWidth="1"/>
    <col min="43" max="43" width="1.625" style="69" customWidth="1"/>
    <col min="44" max="44" width="2" style="69" customWidth="1"/>
    <col min="45" max="48" width="2.625" style="69" customWidth="1"/>
    <col min="49" max="62" width="2.875" style="69" customWidth="1"/>
    <col min="63" max="72" width="2.25" style="69" customWidth="1"/>
    <col min="73" max="73" width="3.125" style="69" customWidth="1"/>
    <col min="74" max="75" width="2.25" style="69" customWidth="1"/>
    <col min="76" max="76" width="3" style="69" customWidth="1"/>
    <col min="77" max="78" width="2.25" style="69" customWidth="1"/>
    <col min="79" max="81" width="2.125" style="69" customWidth="1"/>
    <col min="82" max="82" width="2" style="69" customWidth="1"/>
    <col min="83" max="85" width="2.375" style="69" customWidth="1"/>
    <col min="86" max="86" width="3.125" style="69" customWidth="1"/>
    <col min="87" max="92" width="2.375" style="69" customWidth="1"/>
    <col min="93" max="102" width="1.625" style="69" customWidth="1"/>
    <col min="103" max="16384" width="9" style="69"/>
  </cols>
  <sheetData>
    <row r="1" spans="1:88" ht="18" customHeight="1">
      <c r="B1" s="70" t="s">
        <v>2120</v>
      </c>
      <c r="M1" s="71"/>
      <c r="N1" s="997" t="s">
        <v>2333</v>
      </c>
      <c r="O1" s="997"/>
      <c r="P1" s="997"/>
      <c r="Q1" s="997"/>
      <c r="R1" s="997"/>
      <c r="S1" s="997"/>
      <c r="T1" s="997"/>
      <c r="U1" s="997"/>
      <c r="V1" s="997"/>
      <c r="W1" s="997"/>
      <c r="X1" s="997"/>
      <c r="Y1" s="997"/>
      <c r="Z1" s="997"/>
      <c r="AA1" s="997"/>
      <c r="AB1" s="997"/>
      <c r="AC1" s="997"/>
      <c r="AD1" s="997"/>
      <c r="AE1" s="997"/>
      <c r="AF1" s="1127" t="s">
        <v>25</v>
      </c>
      <c r="AG1" s="1127"/>
      <c r="AH1" s="1127"/>
      <c r="AI1" s="1128" t="str">
        <f>IF(G5="","",G5)</f>
        <v/>
      </c>
      <c r="AJ1" s="1128"/>
      <c r="AK1" s="1128"/>
      <c r="AL1" s="1128"/>
      <c r="AM1" s="1128"/>
      <c r="AN1" s="1128"/>
      <c r="AO1" s="1128"/>
      <c r="AP1" s="1128"/>
      <c r="AS1" s="958" t="str">
        <f>B9&amp;G9&amp;L9</f>
        <v/>
      </c>
      <c r="AT1" s="959"/>
      <c r="AU1" s="959"/>
      <c r="AV1" s="959"/>
      <c r="AW1" s="959"/>
      <c r="AX1" s="959"/>
      <c r="AY1" s="959"/>
      <c r="AZ1" s="959"/>
      <c r="BA1" s="959"/>
      <c r="BB1" s="959"/>
      <c r="BC1" s="959"/>
      <c r="BD1" s="959"/>
      <c r="BE1" s="960"/>
      <c r="BF1" s="957" t="str">
        <f>IFERROR(VLOOKUP(Y5,【参考】数式用!$AH$2:$AI$34,2,FALSE),"")</f>
        <v/>
      </c>
      <c r="BG1" s="957"/>
      <c r="BH1" s="957"/>
      <c r="BI1" s="957"/>
      <c r="BJ1" s="957"/>
      <c r="BK1" s="957"/>
      <c r="BL1" s="957"/>
      <c r="BM1" s="957"/>
      <c r="BN1" s="957"/>
      <c r="BO1" s="957"/>
      <c r="BP1" s="957"/>
      <c r="CE1" s="72" t="s">
        <v>2190</v>
      </c>
    </row>
    <row r="2" spans="1:88" s="73" customFormat="1" ht="19.5" customHeight="1" thickBot="1">
      <c r="C2" s="71"/>
      <c r="D2" s="71"/>
      <c r="E2" s="71"/>
      <c r="F2" s="71"/>
      <c r="G2" s="71"/>
      <c r="H2" s="71"/>
      <c r="I2" s="71"/>
      <c r="J2" s="71"/>
      <c r="K2" s="71"/>
      <c r="L2" s="71"/>
      <c r="M2" s="71"/>
      <c r="N2" s="997"/>
      <c r="O2" s="997"/>
      <c r="P2" s="997"/>
      <c r="Q2" s="997"/>
      <c r="R2" s="997"/>
      <c r="S2" s="997"/>
      <c r="T2" s="997"/>
      <c r="U2" s="997"/>
      <c r="V2" s="997"/>
      <c r="W2" s="997"/>
      <c r="X2" s="997"/>
      <c r="Y2" s="997"/>
      <c r="Z2" s="997"/>
      <c r="AA2" s="997"/>
      <c r="AB2" s="997"/>
      <c r="AC2" s="997"/>
      <c r="AD2" s="997"/>
      <c r="AE2" s="997"/>
      <c r="AF2" s="71"/>
      <c r="AG2" s="71"/>
      <c r="AH2" s="71"/>
      <c r="AI2" s="71"/>
      <c r="AJ2" s="71"/>
      <c r="AK2" s="71"/>
      <c r="AL2" s="71"/>
      <c r="AM2" s="71"/>
      <c r="AN2" s="71"/>
      <c r="AO2" s="71"/>
      <c r="AP2" s="71"/>
      <c r="AQ2" s="511"/>
      <c r="AR2" s="511"/>
      <c r="CE2" s="918" t="s">
        <v>2193</v>
      </c>
      <c r="CF2" s="918"/>
      <c r="CG2" s="918"/>
      <c r="CH2" s="918"/>
      <c r="CI2" s="1132" t="str">
        <f>IF(AI1&lt;&gt;"",1,"")</f>
        <v/>
      </c>
      <c r="CJ2" s="1133"/>
    </row>
    <row r="3" spans="1:88" ht="15.75" customHeight="1">
      <c r="B3" s="74" t="s">
        <v>2022</v>
      </c>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S3" s="76"/>
      <c r="AT3" s="77" t="s">
        <v>2138</v>
      </c>
      <c r="AU3" s="78"/>
      <c r="AV3" s="78"/>
      <c r="AW3" s="78"/>
      <c r="AX3" s="78"/>
      <c r="AY3" s="78"/>
      <c r="AZ3" s="78"/>
      <c r="BA3" s="79"/>
      <c r="CE3" s="918" t="s">
        <v>2187</v>
      </c>
      <c r="CF3" s="918"/>
      <c r="CG3" s="918"/>
      <c r="CH3" s="918"/>
      <c r="CI3" s="1134" t="str">
        <f>IF(AND(L9="ベア加算",Q49="ベア加算"),1,"")</f>
        <v/>
      </c>
      <c r="CJ3" s="1135"/>
    </row>
    <row r="4" spans="1:88" ht="28.5" customHeight="1">
      <c r="B4" s="1039" t="s">
        <v>2238</v>
      </c>
      <c r="C4" s="1039"/>
      <c r="D4" s="1039"/>
      <c r="E4" s="1039"/>
      <c r="F4" s="1039"/>
      <c r="G4" s="1040" t="s">
        <v>0</v>
      </c>
      <c r="H4" s="1040"/>
      <c r="I4" s="1040"/>
      <c r="J4" s="1041" t="s">
        <v>1</v>
      </c>
      <c r="K4" s="1042"/>
      <c r="L4" s="1042"/>
      <c r="M4" s="1042"/>
      <c r="N4" s="1042"/>
      <c r="O4" s="1043"/>
      <c r="P4" s="913" t="s">
        <v>2</v>
      </c>
      <c r="Q4" s="914"/>
      <c r="R4" s="914"/>
      <c r="S4" s="914"/>
      <c r="T4" s="914"/>
      <c r="U4" s="914"/>
      <c r="V4" s="914"/>
      <c r="W4" s="914"/>
      <c r="X4" s="915"/>
      <c r="Y4" s="1041" t="s">
        <v>3</v>
      </c>
      <c r="Z4" s="1042"/>
      <c r="AA4" s="1042"/>
      <c r="AB4" s="1042"/>
      <c r="AC4" s="1042"/>
      <c r="AD4" s="1043"/>
      <c r="AE4" s="1007" t="s">
        <v>2318</v>
      </c>
      <c r="AF4" s="1008"/>
      <c r="AG4" s="1008"/>
      <c r="AH4" s="1009"/>
      <c r="AI4" s="1007" t="s">
        <v>2319</v>
      </c>
      <c r="AJ4" s="1008"/>
      <c r="AK4" s="1008"/>
      <c r="AL4" s="1009"/>
      <c r="AM4" s="1007" t="s">
        <v>2320</v>
      </c>
      <c r="AN4" s="1008"/>
      <c r="AO4" s="1008"/>
      <c r="AP4" s="1009"/>
      <c r="AS4" s="80"/>
      <c r="AT4" s="910" t="s">
        <v>2096</v>
      </c>
      <c r="AU4" s="910" t="s">
        <v>2056</v>
      </c>
      <c r="AV4" s="910" t="s">
        <v>2057</v>
      </c>
      <c r="AW4" s="910" t="s">
        <v>2058</v>
      </c>
      <c r="AX4" s="910" t="s">
        <v>2059</v>
      </c>
      <c r="AY4" s="910" t="s">
        <v>2060</v>
      </c>
      <c r="AZ4" s="910" t="s">
        <v>2095</v>
      </c>
      <c r="BA4" s="81"/>
      <c r="CE4" s="918" t="s">
        <v>2192</v>
      </c>
      <c r="CF4" s="918"/>
      <c r="CG4" s="918"/>
      <c r="CH4" s="918"/>
      <c r="CI4" s="916" t="str">
        <f>IF(OR(OR(G49="処遇加算Ⅰ",G49="処遇加算Ⅱ"),OR(AS48="処遇加算Ⅰ",AS48="処遇加算Ⅱ")),1,"")</f>
        <v/>
      </c>
      <c r="CJ4" s="917"/>
    </row>
    <row r="5" spans="1:88" ht="33" customHeight="1">
      <c r="B5" s="1027"/>
      <c r="C5" s="1027"/>
      <c r="D5" s="1027"/>
      <c r="E5" s="1027"/>
      <c r="F5" s="1027"/>
      <c r="G5" s="1028"/>
      <c r="H5" s="1028"/>
      <c r="I5" s="1028"/>
      <c r="J5" s="1029"/>
      <c r="K5" s="1029"/>
      <c r="L5" s="1029"/>
      <c r="M5" s="1030"/>
      <c r="N5" s="1030"/>
      <c r="O5" s="1030"/>
      <c r="P5" s="1138"/>
      <c r="Q5" s="1139"/>
      <c r="R5" s="1139"/>
      <c r="S5" s="1139"/>
      <c r="T5" s="1139"/>
      <c r="U5" s="1139"/>
      <c r="V5" s="1139"/>
      <c r="W5" s="1139"/>
      <c r="X5" s="1140"/>
      <c r="Y5" s="1010"/>
      <c r="Z5" s="1010"/>
      <c r="AA5" s="1010"/>
      <c r="AB5" s="1010"/>
      <c r="AC5" s="1010"/>
      <c r="AD5" s="1010"/>
      <c r="AE5" s="923"/>
      <c r="AF5" s="924"/>
      <c r="AG5" s="924"/>
      <c r="AH5" s="925"/>
      <c r="AI5" s="923"/>
      <c r="AJ5" s="924"/>
      <c r="AK5" s="924"/>
      <c r="AL5" s="925"/>
      <c r="AM5" s="926">
        <f>AE5-AI5</f>
        <v>0</v>
      </c>
      <c r="AN5" s="927"/>
      <c r="AO5" s="927"/>
      <c r="AP5" s="928"/>
      <c r="AS5" s="80"/>
      <c r="AT5" s="911"/>
      <c r="AU5" s="911"/>
      <c r="AV5" s="911"/>
      <c r="AW5" s="911"/>
      <c r="AX5" s="911"/>
      <c r="AY5" s="911"/>
      <c r="AZ5" s="911"/>
      <c r="BA5" s="81"/>
      <c r="CE5" s="918" t="s">
        <v>2186</v>
      </c>
      <c r="CF5" s="918"/>
      <c r="CG5" s="918"/>
      <c r="CH5" s="918"/>
      <c r="CI5" s="916" t="str">
        <f>IF(OR(G49="処遇加算Ⅰ",AS48="処遇加算Ⅰ"),1,"")</f>
        <v/>
      </c>
      <c r="CJ5" s="917"/>
    </row>
    <row r="6" spans="1:88" ht="10.5" customHeight="1">
      <c r="B6" s="82"/>
      <c r="C6" s="82"/>
      <c r="D6" s="82"/>
      <c r="E6" s="82"/>
      <c r="F6" s="82"/>
      <c r="G6" s="83"/>
      <c r="H6" s="83"/>
      <c r="I6" s="83"/>
      <c r="J6" s="83"/>
      <c r="K6" s="83"/>
      <c r="L6" s="83"/>
      <c r="M6" s="83"/>
      <c r="N6" s="83"/>
      <c r="O6" s="83"/>
      <c r="P6" s="84"/>
      <c r="Q6" s="84"/>
      <c r="R6" s="84"/>
      <c r="S6" s="84"/>
      <c r="T6" s="84"/>
      <c r="U6" s="84"/>
      <c r="V6" s="84"/>
      <c r="W6" s="84"/>
      <c r="X6" s="84"/>
      <c r="Y6" s="84"/>
      <c r="Z6" s="84"/>
      <c r="AA6" s="84"/>
      <c r="AB6" s="84"/>
      <c r="AC6" s="84"/>
      <c r="AD6" s="84"/>
      <c r="AE6" s="84"/>
      <c r="AF6" s="84"/>
      <c r="AG6" s="84"/>
      <c r="AH6" s="85"/>
      <c r="AI6" s="85"/>
      <c r="AJ6" s="85"/>
      <c r="AK6" s="85"/>
      <c r="AL6" s="85"/>
      <c r="AM6" s="86"/>
      <c r="AN6" s="86"/>
      <c r="AO6" s="86"/>
      <c r="AP6" s="86"/>
      <c r="AS6" s="80"/>
      <c r="AT6" s="911"/>
      <c r="AU6" s="911"/>
      <c r="AV6" s="911"/>
      <c r="AW6" s="911"/>
      <c r="AX6" s="911"/>
      <c r="AY6" s="911"/>
      <c r="AZ6" s="911"/>
      <c r="BA6" s="81"/>
      <c r="CE6" s="918" t="s">
        <v>2189</v>
      </c>
      <c r="CF6" s="918"/>
      <c r="CG6" s="918"/>
      <c r="CH6" s="918"/>
      <c r="CI6" s="916" t="str">
        <f>IF(OR(AH61=1,AP61=1),1,"")</f>
        <v/>
      </c>
      <c r="CJ6" s="917"/>
    </row>
    <row r="7" spans="1:88" ht="15" customHeight="1">
      <c r="B7" s="87" t="s">
        <v>2062</v>
      </c>
      <c r="C7" s="75"/>
      <c r="D7" s="75"/>
      <c r="E7" s="75"/>
      <c r="F7" s="75"/>
      <c r="G7" s="75"/>
      <c r="H7" s="75"/>
      <c r="I7" s="75"/>
      <c r="J7" s="75"/>
      <c r="K7" s="75"/>
      <c r="L7" s="75"/>
      <c r="M7" s="75"/>
      <c r="N7" s="75"/>
      <c r="O7" s="75"/>
      <c r="P7" s="75"/>
      <c r="Q7" s="75"/>
      <c r="R7" s="75"/>
      <c r="S7" s="75"/>
      <c r="T7" s="75"/>
      <c r="U7" s="75"/>
      <c r="V7" s="88" t="s">
        <v>2100</v>
      </c>
      <c r="W7" s="75"/>
      <c r="X7" s="75"/>
      <c r="Y7" s="75"/>
      <c r="Z7" s="75"/>
      <c r="AA7" s="75"/>
      <c r="AB7" s="75"/>
      <c r="AC7" s="75"/>
      <c r="AD7" s="75"/>
      <c r="AE7" s="75"/>
      <c r="AF7" s="75"/>
      <c r="AG7" s="75"/>
      <c r="AH7" s="75"/>
      <c r="AI7" s="75"/>
      <c r="AJ7" s="75"/>
      <c r="AK7" s="75"/>
      <c r="AL7" s="75"/>
      <c r="AM7" s="75"/>
      <c r="AN7" s="75"/>
      <c r="AO7" s="75"/>
      <c r="AP7" s="75"/>
      <c r="AS7" s="80"/>
      <c r="AT7" s="912"/>
      <c r="AU7" s="912"/>
      <c r="AV7" s="912"/>
      <c r="AW7" s="912"/>
      <c r="AX7" s="912"/>
      <c r="AY7" s="912"/>
      <c r="AZ7" s="912"/>
      <c r="BA7" s="81"/>
      <c r="CE7" s="1136" t="s">
        <v>2188</v>
      </c>
      <c r="CF7" s="1136"/>
      <c r="CG7" s="1136"/>
      <c r="CH7" s="1136"/>
      <c r="CI7" s="916" t="str">
        <f>IF(AND(AH62=1,AD41=""),1,"")</f>
        <v/>
      </c>
      <c r="CJ7" s="917"/>
    </row>
    <row r="8" spans="1:88" ht="17.25" customHeight="1" thickBot="1">
      <c r="B8" s="1033" t="s">
        <v>2146</v>
      </c>
      <c r="C8" s="1034"/>
      <c r="D8" s="1034"/>
      <c r="E8" s="1034"/>
      <c r="F8" s="1034"/>
      <c r="G8" s="1034"/>
      <c r="H8" s="1034"/>
      <c r="I8" s="1034"/>
      <c r="J8" s="1034"/>
      <c r="K8" s="1034"/>
      <c r="L8" s="1034"/>
      <c r="M8" s="1034"/>
      <c r="N8" s="1034"/>
      <c r="O8" s="1034"/>
      <c r="P8" s="1034"/>
      <c r="Q8" s="1034"/>
      <c r="R8" s="1034"/>
      <c r="S8" s="1035"/>
      <c r="T8" s="945" t="s">
        <v>12</v>
      </c>
      <c r="U8" s="946"/>
      <c r="V8" s="929" t="str">
        <f>IFERROR(IF(VLOOKUP(AS1,【参考】数式用2!E6:L23,3,FALSE)="","",VLOOKUP(AS1,【参考】数式用2!E6:L23,3,FALSE)),"")</f>
        <v/>
      </c>
      <c r="W8" s="930"/>
      <c r="X8" s="930"/>
      <c r="Y8" s="930"/>
      <c r="Z8" s="931"/>
      <c r="AA8" s="919" t="str">
        <f>IFERROR(VLOOKUP(AS1,【参考】数式用2!E6:L23,4,FALSE),"")</f>
        <v/>
      </c>
      <c r="AB8" s="919"/>
      <c r="AC8" s="919"/>
      <c r="AD8" s="919"/>
      <c r="AE8" s="919"/>
      <c r="AF8" s="919"/>
      <c r="AG8" s="919"/>
      <c r="AH8" s="919"/>
      <c r="AI8" s="919"/>
      <c r="AJ8" s="919"/>
      <c r="AK8" s="919"/>
      <c r="AL8" s="919"/>
      <c r="AM8" s="919"/>
      <c r="AN8" s="919"/>
      <c r="AO8" s="919"/>
      <c r="AP8" s="920"/>
      <c r="AS8" s="80"/>
      <c r="AT8" s="1129" t="str">
        <f>IF(L9="ベア加算","",IF(OR(V8="新加算Ⅰ",V8="新加算Ⅱ",V8="新加算Ⅲ",V8="新加算Ⅳ"),"○",""))</f>
        <v/>
      </c>
      <c r="AU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2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29" t="str">
        <f>IF(OR(V8="新加算Ⅰ",V8="新加算Ⅱ",V8="新加算Ⅲ",V8="新加算Ⅴ(１)",V8="新加算Ⅴ(３)",V8="新加算Ⅴ(８)"),"○","")</f>
        <v/>
      </c>
      <c r="AX8" s="1129" t="str">
        <f>IF(OR(V8="新加算Ⅰ",V8="新加算Ⅱ",V8="新加算Ⅴ(１)",V8="新加算Ⅴ(２)",V8="新加算Ⅴ(３)",V8="新加算Ⅴ(４)",V8="新加算Ⅴ(５)",V8="新加算Ⅴ(６)",V8="新加算Ⅴ(７)",V8="新加算Ⅴ(９)",V8="新加算Ⅴ(10)",V8="新加算Ⅴ(12)"),"○","")</f>
        <v/>
      </c>
      <c r="AY8" s="1129" t="str">
        <f>IF(OR(V8="新加算Ⅰ",V8="新加算Ⅴ(１)",V8="新加算Ⅴ(２)",V8="新加算Ⅴ(５)",V8="新加算Ⅴ(７)",V8="新加算Ⅴ(10)"),"○","")</f>
        <v/>
      </c>
      <c r="AZ8" s="1129" t="str">
        <f>IF(OR(V8="新加算Ⅰ",V8="新加算Ⅱ",V8="新加算Ⅴ(１)",V8="新加算Ⅴ(２)",V8="新加算Ⅴ(３)",V8="新加算Ⅴ(４)",V8="新加算Ⅴ(５)",V8="新加算Ⅴ(６)",V8="新加算Ⅴ(７)",V8="新加算Ⅴ(９)",V8="新加算Ⅴ(10)",V8="新加算Ⅴ(12)"),"○","")</f>
        <v/>
      </c>
      <c r="BA8" s="81"/>
      <c r="CE8" s="1136" t="s">
        <v>2188</v>
      </c>
      <c r="CF8" s="1136"/>
      <c r="CG8" s="1136"/>
      <c r="CH8" s="1136"/>
      <c r="CI8" s="916" t="str">
        <f>IF(AND(AP62=1,AL41=""),1,"")</f>
        <v/>
      </c>
      <c r="CJ8" s="917"/>
    </row>
    <row r="9" spans="1:88" ht="26.25" customHeight="1">
      <c r="B9" s="1048"/>
      <c r="C9" s="1049"/>
      <c r="D9" s="1049"/>
      <c r="E9" s="1049"/>
      <c r="F9" s="1050"/>
      <c r="G9" s="1051"/>
      <c r="H9" s="1052"/>
      <c r="I9" s="1052"/>
      <c r="J9" s="1052"/>
      <c r="K9" s="1053"/>
      <c r="L9" s="1054"/>
      <c r="M9" s="1055"/>
      <c r="N9" s="1055"/>
      <c r="O9" s="1055"/>
      <c r="P9" s="1056"/>
      <c r="Q9" s="1031" t="s">
        <v>2052</v>
      </c>
      <c r="R9" s="1032"/>
      <c r="S9" s="1032"/>
      <c r="T9" s="945"/>
      <c r="U9" s="946"/>
      <c r="V9" s="932" t="str">
        <f>IFERROR(VLOOKUP(Y5,【参考】数式用!$A$5:$AB$37,MATCH(V8,【参考】数式用!$B$4:$AB$4,0)+1,FALSE),"")</f>
        <v/>
      </c>
      <c r="W9" s="933"/>
      <c r="X9" s="933"/>
      <c r="Y9" s="933"/>
      <c r="Z9" s="934"/>
      <c r="AA9" s="921"/>
      <c r="AB9" s="921"/>
      <c r="AC9" s="921"/>
      <c r="AD9" s="921"/>
      <c r="AE9" s="921"/>
      <c r="AF9" s="921"/>
      <c r="AG9" s="921"/>
      <c r="AH9" s="921"/>
      <c r="AI9" s="921"/>
      <c r="AJ9" s="921"/>
      <c r="AK9" s="921"/>
      <c r="AL9" s="921"/>
      <c r="AM9" s="921"/>
      <c r="AN9" s="921"/>
      <c r="AO9" s="921"/>
      <c r="AP9" s="922"/>
      <c r="AS9" s="80"/>
      <c r="AT9" s="1130"/>
      <c r="AU9" s="1130"/>
      <c r="AV9" s="1130"/>
      <c r="AW9" s="1130"/>
      <c r="AX9" s="1130"/>
      <c r="AY9" s="1130"/>
      <c r="AZ9" s="1130"/>
      <c r="BA9" s="81"/>
      <c r="CE9" s="918" t="s">
        <v>2188</v>
      </c>
      <c r="CF9" s="918"/>
      <c r="CG9" s="918"/>
      <c r="CH9" s="918"/>
      <c r="CI9" s="916" t="str">
        <f>IF(OR(AH62=1,AP62=1),1,"")</f>
        <v/>
      </c>
      <c r="CJ9" s="917"/>
    </row>
    <row r="10" spans="1:88" ht="11.25" customHeight="1">
      <c r="B10" s="1057" t="str">
        <f>IFERROR(VLOOKUP(Y5,【参考】数式用!$A$5:$J$37,MATCH(B9,【参考】数式用!$B$4:$J$4,0)+1,0),"")</f>
        <v/>
      </c>
      <c r="C10" s="1058"/>
      <c r="D10" s="1058"/>
      <c r="E10" s="1058"/>
      <c r="F10" s="1059"/>
      <c r="G10" s="1057" t="str">
        <f>IFERROR(VLOOKUP(Y5,【参考】数式用!$A$5:$J$37,MATCH(G9,【参考】数式用!$B$4:$J$4,0)+1,0),"")</f>
        <v/>
      </c>
      <c r="H10" s="1058"/>
      <c r="I10" s="1058"/>
      <c r="J10" s="1058"/>
      <c r="K10" s="1059"/>
      <c r="L10" s="1063" t="str">
        <f>IFERROR(VLOOKUP(Y5,【参考】数式用!$A$5:$J$37,MATCH(L9,【参考】数式用!$B$4:$J$4,0)+1,0),"")</f>
        <v/>
      </c>
      <c r="M10" s="1064"/>
      <c r="N10" s="1064"/>
      <c r="O10" s="1064"/>
      <c r="P10" s="1065"/>
      <c r="Q10" s="1069">
        <f>SUM(B10,G10,L10)</f>
        <v>0</v>
      </c>
      <c r="R10" s="1070"/>
      <c r="S10" s="1070"/>
      <c r="T10" s="89"/>
      <c r="U10" s="89"/>
      <c r="V10" s="90" t="s">
        <v>2101</v>
      </c>
      <c r="W10" s="91"/>
      <c r="X10" s="91"/>
      <c r="Y10" s="91"/>
      <c r="Z10" s="91"/>
      <c r="AA10" s="92"/>
      <c r="AB10" s="92"/>
      <c r="AC10" s="92"/>
      <c r="AD10" s="92"/>
      <c r="AE10" s="92"/>
      <c r="AF10" s="93"/>
      <c r="AG10" s="93"/>
      <c r="AH10" s="93"/>
      <c r="AI10" s="93"/>
      <c r="AJ10" s="93"/>
      <c r="AK10" s="93"/>
      <c r="AL10" s="93"/>
      <c r="AM10" s="93"/>
      <c r="AN10" s="92"/>
      <c r="AO10" s="92"/>
      <c r="AP10" s="94"/>
      <c r="AS10" s="80"/>
      <c r="AT10" s="95"/>
      <c r="AU10" s="95"/>
      <c r="AV10" s="95"/>
      <c r="AW10" s="95"/>
      <c r="AX10" s="95"/>
      <c r="AY10" s="95"/>
      <c r="AZ10" s="95"/>
      <c r="BA10" s="81"/>
      <c r="CE10" s="918" t="s">
        <v>2191</v>
      </c>
      <c r="CF10" s="918"/>
      <c r="CG10" s="918"/>
      <c r="CH10" s="918"/>
      <c r="CI10" s="916">
        <f>IF(OR(AH63=1,AP63=1),1,0)</f>
        <v>0</v>
      </c>
      <c r="CJ10" s="917"/>
    </row>
    <row r="11" spans="1:88" s="91" customFormat="1" ht="20.25" customHeight="1" thickBot="1">
      <c r="B11" s="1060"/>
      <c r="C11" s="1061"/>
      <c r="D11" s="1061"/>
      <c r="E11" s="1061"/>
      <c r="F11" s="1062"/>
      <c r="G11" s="1060"/>
      <c r="H11" s="1061"/>
      <c r="I11" s="1061"/>
      <c r="J11" s="1061"/>
      <c r="K11" s="1062"/>
      <c r="L11" s="1066"/>
      <c r="M11" s="1067"/>
      <c r="N11" s="1067"/>
      <c r="O11" s="1067"/>
      <c r="P11" s="1068"/>
      <c r="Q11" s="1069"/>
      <c r="R11" s="1070"/>
      <c r="S11" s="1070"/>
      <c r="T11" s="956"/>
      <c r="U11" s="946"/>
      <c r="V11" s="999" t="str">
        <f>IFERROR(IF(VLOOKUP(AS1,【参考】数式用2!E6:L23,5,FALSE)="","",VLOOKUP(AS1,【参考】数式用2!E6:L23,5,FALSE)),"")</f>
        <v/>
      </c>
      <c r="W11" s="999"/>
      <c r="X11" s="999"/>
      <c r="Y11" s="999"/>
      <c r="Z11" s="999"/>
      <c r="AA11" s="919" t="str">
        <f>IFERROR(VLOOKUP(AS1,【参考】数式用2!E6:L23,6,FALSE),"")</f>
        <v/>
      </c>
      <c r="AB11" s="919"/>
      <c r="AC11" s="919"/>
      <c r="AD11" s="919"/>
      <c r="AE11" s="919"/>
      <c r="AF11" s="919"/>
      <c r="AG11" s="919"/>
      <c r="AH11" s="919"/>
      <c r="AI11" s="919"/>
      <c r="AJ11" s="919"/>
      <c r="AK11" s="919"/>
      <c r="AL11" s="919"/>
      <c r="AM11" s="919"/>
      <c r="AN11" s="919"/>
      <c r="AO11" s="919"/>
      <c r="AP11" s="920"/>
      <c r="AS11" s="96"/>
      <c r="AT11" s="1129" t="str">
        <f>IF(L9="ベア加算","",IF(OR(V11="新加算Ⅰ",V11="新加算Ⅱ",V11="新加算Ⅲ",V11="新加算Ⅳ"),"○",""))</f>
        <v/>
      </c>
      <c r="AU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2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29" t="str">
        <f>IF(OR(V11="新加算Ⅰ",V11="新加算Ⅱ",V11="新加算Ⅲ",V11="新加算Ⅴ(１)",V11="新加算Ⅴ(３)",V11="新加算Ⅴ(８)"),"○","")</f>
        <v/>
      </c>
      <c r="AX11" s="1129" t="str">
        <f>IF(OR(V11="新加算Ⅰ",V11="新加算Ⅱ",V11="新加算Ⅴ(１)",V11="新加算Ⅴ(２)",V11="新加算Ⅴ(３)",V11="新加算Ⅴ(４)",V11="新加算Ⅴ(５)",V11="新加算Ⅴ(６)",V11="新加算Ⅴ(７)",V11="新加算Ⅴ(９)",V11="新加算Ⅴ(10)",V11="新加算Ⅴ(12)"),"○","")</f>
        <v/>
      </c>
      <c r="AY11" s="1129" t="str">
        <f>IF(OR(V11="新加算Ⅰ",V11="新加算Ⅴ(１)",V11="新加算Ⅴ(２)",V11="新加算Ⅴ(５)",V11="新加算Ⅴ(７)",V11="新加算Ⅴ(10)"),"○","")</f>
        <v/>
      </c>
      <c r="AZ11" s="1129" t="str">
        <f>IF(OR(V11="新加算Ⅰ",V11="新加算Ⅱ",V11="新加算Ⅴ(１)",V11="新加算Ⅴ(２)",V11="新加算Ⅴ(３)",V11="新加算Ⅴ(４)",V11="新加算Ⅴ(５)",V11="新加算Ⅴ(６)",V11="新加算Ⅴ(７)",V11="新加算Ⅴ(９)",V11="新加算Ⅴ(10)",V11="新加算Ⅴ(12)"),"○","")</f>
        <v/>
      </c>
      <c r="BA11" s="97"/>
    </row>
    <row r="12" spans="1:88" ht="25.5" customHeight="1" thickBot="1">
      <c r="A12" s="75"/>
      <c r="B12" s="1026"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26"/>
      <c r="D12" s="1026"/>
      <c r="E12" s="1026"/>
      <c r="F12" s="1026"/>
      <c r="G12" s="1026"/>
      <c r="H12" s="1026"/>
      <c r="I12" s="1026"/>
      <c r="J12" s="1026"/>
      <c r="K12" s="1026"/>
      <c r="L12" s="1026"/>
      <c r="M12" s="1026"/>
      <c r="N12" s="1026"/>
      <c r="O12" s="1026"/>
      <c r="P12" s="1026"/>
      <c r="Q12" s="1026"/>
      <c r="R12" s="1026"/>
      <c r="S12" s="1026"/>
      <c r="T12" s="956"/>
      <c r="U12" s="946"/>
      <c r="V12" s="1137" t="str">
        <f>IFERROR(VLOOKUP(Y5,【参考】数式用!$A$5:$AB$37,MATCH(V11,【参考】数式用!$B$4:$AB$4,0)+1,FALSE),"")</f>
        <v/>
      </c>
      <c r="W12" s="1137"/>
      <c r="X12" s="1137"/>
      <c r="Y12" s="1137"/>
      <c r="Z12" s="1137"/>
      <c r="AA12" s="921"/>
      <c r="AB12" s="921"/>
      <c r="AC12" s="921"/>
      <c r="AD12" s="921"/>
      <c r="AE12" s="921"/>
      <c r="AF12" s="921"/>
      <c r="AG12" s="921"/>
      <c r="AH12" s="921"/>
      <c r="AI12" s="921"/>
      <c r="AJ12" s="921"/>
      <c r="AK12" s="921"/>
      <c r="AL12" s="921"/>
      <c r="AM12" s="921"/>
      <c r="AN12" s="921"/>
      <c r="AO12" s="921"/>
      <c r="AP12" s="922"/>
      <c r="AS12" s="80"/>
      <c r="AT12" s="1130"/>
      <c r="AU12" s="1130"/>
      <c r="AV12" s="1130"/>
      <c r="AW12" s="1130"/>
      <c r="AX12" s="1130"/>
      <c r="AY12" s="1130"/>
      <c r="AZ12" s="1130"/>
      <c r="BA12" s="81"/>
    </row>
    <row r="13" spans="1:88" ht="12" customHeight="1">
      <c r="A13" s="75"/>
      <c r="B13" s="990" t="s">
        <v>2116</v>
      </c>
      <c r="C13" s="991"/>
      <c r="D13" s="991"/>
      <c r="E13" s="991"/>
      <c r="F13" s="991"/>
      <c r="G13" s="991"/>
      <c r="H13" s="991"/>
      <c r="I13" s="991"/>
      <c r="J13" s="991"/>
      <c r="K13" s="991"/>
      <c r="L13" s="991"/>
      <c r="M13" s="991"/>
      <c r="N13" s="991"/>
      <c r="O13" s="991"/>
      <c r="P13" s="991"/>
      <c r="Q13" s="991"/>
      <c r="R13" s="991"/>
      <c r="S13" s="992"/>
      <c r="U13" s="95"/>
      <c r="V13" s="98" t="s">
        <v>2102</v>
      </c>
      <c r="W13" s="91"/>
      <c r="X13" s="91"/>
      <c r="Y13" s="91"/>
      <c r="Z13" s="91"/>
      <c r="AA13" s="93"/>
      <c r="AB13" s="93"/>
      <c r="AC13" s="93"/>
      <c r="AD13" s="93"/>
      <c r="AE13" s="93"/>
      <c r="AF13" s="93"/>
      <c r="AG13" s="93"/>
      <c r="AH13" s="93"/>
      <c r="AI13" s="93"/>
      <c r="AJ13" s="93"/>
      <c r="AK13" s="93"/>
      <c r="AL13" s="93"/>
      <c r="AM13" s="93"/>
      <c r="AN13" s="93"/>
      <c r="AO13" s="93"/>
      <c r="AP13" s="94"/>
      <c r="AS13" s="80"/>
      <c r="AT13" s="95"/>
      <c r="AU13" s="95"/>
      <c r="AV13" s="95"/>
      <c r="AW13" s="95"/>
      <c r="AX13" s="95"/>
      <c r="AY13" s="95"/>
      <c r="AZ13" s="95"/>
      <c r="BA13" s="81"/>
    </row>
    <row r="14" spans="1:88" ht="20.25" customHeight="1">
      <c r="A14" s="75"/>
      <c r="B14" s="993"/>
      <c r="C14" s="994"/>
      <c r="D14" s="994"/>
      <c r="E14" s="994"/>
      <c r="F14" s="994"/>
      <c r="G14" s="994"/>
      <c r="H14" s="994"/>
      <c r="I14" s="994"/>
      <c r="J14" s="994"/>
      <c r="K14" s="994"/>
      <c r="L14" s="994"/>
      <c r="M14" s="994"/>
      <c r="N14" s="994"/>
      <c r="O14" s="994"/>
      <c r="P14" s="994"/>
      <c r="Q14" s="994"/>
      <c r="R14" s="994"/>
      <c r="S14" s="995"/>
      <c r="U14" s="508"/>
      <c r="V14" s="999" t="str">
        <f>IFERROR(IF(VLOOKUP(AS1,【参考】数式用2!E6:L23,7,FALSE)="","",VLOOKUP(AS1,【参考】数式用2!E6:L23,7,FALSE)),"")</f>
        <v/>
      </c>
      <c r="W14" s="999"/>
      <c r="X14" s="999"/>
      <c r="Y14" s="999"/>
      <c r="Z14" s="999"/>
      <c r="AA14" s="948" t="str">
        <f>IFERROR(VLOOKUP(AS1,【参考】数式用2!E6:L23,8,FALSE),"")</f>
        <v/>
      </c>
      <c r="AB14" s="919"/>
      <c r="AC14" s="919"/>
      <c r="AD14" s="919"/>
      <c r="AE14" s="919"/>
      <c r="AF14" s="919"/>
      <c r="AG14" s="919"/>
      <c r="AH14" s="919"/>
      <c r="AI14" s="919"/>
      <c r="AJ14" s="919"/>
      <c r="AK14" s="919"/>
      <c r="AL14" s="919"/>
      <c r="AM14" s="919"/>
      <c r="AN14" s="919"/>
      <c r="AO14" s="919"/>
      <c r="AP14" s="920"/>
      <c r="AS14" s="80"/>
      <c r="AT14" s="1129" t="str">
        <f>IF(L9="ベア加算","",IF(OR(V14="新加算Ⅰ",V14="新加算Ⅱ",V14="新加算Ⅲ",V14="新加算Ⅳ"),"○",""))</f>
        <v/>
      </c>
      <c r="AU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2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29" t="str">
        <f>IF(OR(V14="新加算Ⅰ",V14="新加算Ⅱ",V14="新加算Ⅲ",V14="新加算Ⅴ(１)",V14="新加算Ⅴ(３)",V14="新加算Ⅴ(８)"),"○","")</f>
        <v/>
      </c>
      <c r="AX14" s="1129" t="str">
        <f>IF(OR(V14="新加算Ⅰ",V14="新加算Ⅱ",V14="新加算Ⅴ(１)",V14="新加算Ⅴ(２)",V14="新加算Ⅴ(３)",V14="新加算Ⅴ(４)",V14="新加算Ⅴ(５)",V14="新加算Ⅴ(６)",V14="新加算Ⅴ(７)",V14="新加算Ⅴ(９)",V14="新加算Ⅴ(10)",V14="新加算Ⅴ(12)"),"○","")</f>
        <v/>
      </c>
      <c r="AY14" s="1129" t="str">
        <f>IF(OR(V14="新加算Ⅰ",V14="新加算Ⅴ(１)",V14="新加算Ⅴ(２)",V14="新加算Ⅴ(５)",V14="新加算Ⅴ(７)",V14="新加算Ⅴ(10)"),"○","")</f>
        <v/>
      </c>
      <c r="AZ14" s="1129" t="str">
        <f>IF(OR(V14="新加算Ⅰ",V14="新加算Ⅱ",V14="新加算Ⅴ(１)",V14="新加算Ⅴ(２)",V14="新加算Ⅴ(３)",V14="新加算Ⅴ(４)",V14="新加算Ⅴ(５)",V14="新加算Ⅴ(６)",V14="新加算Ⅴ(７)",V14="新加算Ⅴ(９)",V14="新加算Ⅴ(10)",V14="新加算Ⅴ(12)"),"○","")</f>
        <v/>
      </c>
      <c r="BA14" s="81"/>
    </row>
    <row r="15" spans="1:88" ht="20.25" customHeight="1">
      <c r="A15" s="75"/>
      <c r="B15" s="981" t="s">
        <v>2110</v>
      </c>
      <c r="C15" s="982"/>
      <c r="D15" s="54">
        <v>6</v>
      </c>
      <c r="E15" s="512" t="s">
        <v>2111</v>
      </c>
      <c r="F15" s="54">
        <v>4</v>
      </c>
      <c r="G15" s="512" t="s">
        <v>2112</v>
      </c>
      <c r="H15" s="983" t="s">
        <v>2113</v>
      </c>
      <c r="I15" s="983"/>
      <c r="J15" s="996"/>
      <c r="K15" s="54">
        <v>7</v>
      </c>
      <c r="L15" s="512" t="s">
        <v>2111</v>
      </c>
      <c r="M15" s="54">
        <v>3</v>
      </c>
      <c r="N15" s="512" t="s">
        <v>2112</v>
      </c>
      <c r="O15" s="512" t="s">
        <v>2114</v>
      </c>
      <c r="P15" s="99">
        <f>(K15*12+M15)-(D15*12+F15)+1</f>
        <v>12</v>
      </c>
      <c r="Q15" s="983" t="s">
        <v>2115</v>
      </c>
      <c r="R15" s="983"/>
      <c r="S15" s="100" t="s">
        <v>69</v>
      </c>
      <c r="U15" s="508"/>
      <c r="V15" s="984" t="str">
        <f>IFERROR(VLOOKUP(Y5,【参考】数式用!$A$5:$AB$37,MATCH(V14,【参考】数式用!$B$4:$AB$4,0)+1,FALSE),"")</f>
        <v/>
      </c>
      <c r="W15" s="985"/>
      <c r="X15" s="985"/>
      <c r="Y15" s="985"/>
      <c r="Z15" s="986"/>
      <c r="AA15" s="949"/>
      <c r="AB15" s="950"/>
      <c r="AC15" s="950"/>
      <c r="AD15" s="950"/>
      <c r="AE15" s="950"/>
      <c r="AF15" s="950"/>
      <c r="AG15" s="950"/>
      <c r="AH15" s="950"/>
      <c r="AI15" s="950"/>
      <c r="AJ15" s="950"/>
      <c r="AK15" s="950"/>
      <c r="AL15" s="950"/>
      <c r="AM15" s="950"/>
      <c r="AN15" s="950"/>
      <c r="AO15" s="950"/>
      <c r="AP15" s="951"/>
      <c r="AS15" s="80"/>
      <c r="AT15" s="1131"/>
      <c r="AU15" s="1131"/>
      <c r="AV15" s="1131"/>
      <c r="AW15" s="1131"/>
      <c r="AX15" s="1131"/>
      <c r="AY15" s="1131"/>
      <c r="AZ15" s="1131"/>
      <c r="BA15" s="81"/>
    </row>
    <row r="16" spans="1:88" ht="6" customHeight="1" thickBot="1">
      <c r="A16" s="75"/>
      <c r="B16" s="101"/>
      <c r="C16" s="102"/>
      <c r="D16" s="103"/>
      <c r="E16" s="103"/>
      <c r="F16" s="103"/>
      <c r="G16" s="103"/>
      <c r="H16" s="103"/>
      <c r="I16" s="103"/>
      <c r="J16" s="103"/>
      <c r="K16" s="103"/>
      <c r="L16" s="103"/>
      <c r="M16" s="103"/>
      <c r="N16" s="103"/>
      <c r="O16" s="103"/>
      <c r="P16" s="103"/>
      <c r="Q16" s="103"/>
      <c r="R16" s="103"/>
      <c r="S16" s="104"/>
      <c r="U16" s="508"/>
      <c r="V16" s="987"/>
      <c r="W16" s="988"/>
      <c r="X16" s="988"/>
      <c r="Y16" s="988"/>
      <c r="Z16" s="989"/>
      <c r="AA16" s="952"/>
      <c r="AB16" s="953"/>
      <c r="AC16" s="953"/>
      <c r="AD16" s="953"/>
      <c r="AE16" s="953"/>
      <c r="AF16" s="953"/>
      <c r="AG16" s="953"/>
      <c r="AH16" s="953"/>
      <c r="AI16" s="953"/>
      <c r="AJ16" s="953"/>
      <c r="AK16" s="953"/>
      <c r="AL16" s="953"/>
      <c r="AM16" s="953"/>
      <c r="AN16" s="953"/>
      <c r="AO16" s="953"/>
      <c r="AP16" s="954"/>
      <c r="AS16" s="80"/>
      <c r="AT16" s="1130"/>
      <c r="AU16" s="1130"/>
      <c r="AV16" s="1130"/>
      <c r="AW16" s="1130"/>
      <c r="AX16" s="1130"/>
      <c r="AY16" s="1130"/>
      <c r="AZ16" s="1130"/>
      <c r="BA16" s="81"/>
    </row>
    <row r="17" spans="2:60" ht="6.75" customHeight="1" thickBot="1">
      <c r="T17" s="510"/>
      <c r="U17" s="510"/>
      <c r="V17" s="105"/>
      <c r="W17" s="105"/>
      <c r="X17" s="105"/>
      <c r="Y17" s="105"/>
      <c r="Z17" s="105"/>
      <c r="AA17" s="106"/>
      <c r="AB17" s="106"/>
      <c r="AC17" s="106"/>
      <c r="AD17" s="106"/>
      <c r="AE17" s="106"/>
      <c r="AF17" s="106"/>
      <c r="AG17" s="106"/>
      <c r="AH17" s="106"/>
      <c r="AI17" s="106"/>
      <c r="AJ17" s="106"/>
      <c r="AK17" s="106"/>
      <c r="AL17" s="106"/>
      <c r="AM17" s="106"/>
      <c r="AN17" s="106"/>
      <c r="AO17" s="106"/>
      <c r="AP17" s="106"/>
      <c r="AS17" s="107"/>
      <c r="AT17" s="108"/>
      <c r="AU17" s="108"/>
      <c r="AV17" s="108"/>
      <c r="AW17" s="108"/>
      <c r="AX17" s="108"/>
      <c r="AY17" s="108"/>
      <c r="AZ17" s="108"/>
      <c r="BA17" s="109"/>
    </row>
    <row r="18" spans="2:60" ht="12" customHeight="1">
      <c r="B18" s="1092" t="s">
        <v>2063</v>
      </c>
      <c r="C18" s="1092"/>
      <c r="D18" s="1092"/>
      <c r="E18" s="1092"/>
      <c r="F18" s="1092"/>
      <c r="G18" s="1092"/>
      <c r="H18" s="1092"/>
      <c r="I18" s="1092"/>
      <c r="J18" s="1092"/>
      <c r="K18" s="1092"/>
      <c r="L18" s="1092"/>
      <c r="M18" s="1092"/>
      <c r="N18" s="1092"/>
      <c r="O18" s="1092"/>
      <c r="P18" s="1092"/>
      <c r="Q18" s="1092"/>
      <c r="R18" s="1092"/>
      <c r="S18" s="1092"/>
      <c r="AI18" s="110"/>
      <c r="AJ18" s="110"/>
      <c r="AK18" s="110"/>
      <c r="AL18" s="110"/>
      <c r="AM18" s="110"/>
      <c r="AN18" s="110"/>
      <c r="AO18" s="110"/>
      <c r="AP18" s="110"/>
      <c r="AQ18" s="110"/>
    </row>
    <row r="19" spans="2:60" ht="6" customHeight="1" thickBot="1">
      <c r="B19" s="1092"/>
      <c r="C19" s="1092"/>
      <c r="D19" s="1092"/>
      <c r="E19" s="1092"/>
      <c r="F19" s="1092"/>
      <c r="G19" s="1092"/>
      <c r="H19" s="1092"/>
      <c r="I19" s="1092"/>
      <c r="J19" s="1092"/>
      <c r="K19" s="1092"/>
      <c r="L19" s="1092"/>
      <c r="M19" s="1092"/>
      <c r="N19" s="1092"/>
      <c r="O19" s="1092"/>
      <c r="P19" s="1092"/>
      <c r="Q19" s="1092"/>
      <c r="R19" s="1092"/>
      <c r="S19" s="1092"/>
      <c r="AI19" s="110"/>
      <c r="AJ19" s="110"/>
      <c r="AK19" s="110"/>
      <c r="AL19" s="110"/>
      <c r="AM19" s="110"/>
      <c r="AN19" s="110"/>
      <c r="AO19" s="110"/>
      <c r="AP19" s="110"/>
      <c r="AQ19" s="110"/>
    </row>
    <row r="20" spans="2:60" ht="12.95" customHeight="1">
      <c r="B20" s="1093"/>
      <c r="C20" s="1093"/>
      <c r="D20" s="1093"/>
      <c r="E20" s="1093"/>
      <c r="F20" s="1093"/>
      <c r="G20" s="1093"/>
      <c r="H20" s="1093"/>
      <c r="I20" s="1093"/>
      <c r="J20" s="1093"/>
      <c r="K20" s="1093"/>
      <c r="L20" s="1093"/>
      <c r="M20" s="1093"/>
      <c r="N20" s="1093"/>
      <c r="O20" s="1093"/>
      <c r="P20" s="1093"/>
      <c r="Q20" s="1093"/>
      <c r="R20" s="1093"/>
      <c r="S20" s="1093"/>
      <c r="T20" s="111"/>
      <c r="U20" s="75"/>
      <c r="V20" s="1083" t="s">
        <v>216</v>
      </c>
      <c r="W20" s="1083"/>
      <c r="X20" s="1083"/>
      <c r="Y20" s="1083"/>
      <c r="Z20" s="1083"/>
      <c r="AA20" s="88"/>
      <c r="AB20" s="88"/>
      <c r="AC20" s="1083" t="str">
        <f>IF(F15=4,"R6.4～R6.5",IF(F15=5,"R6.5",""))</f>
        <v>R6.4～R6.5</v>
      </c>
      <c r="AD20" s="1083"/>
      <c r="AE20" s="1083"/>
      <c r="AF20" s="1083"/>
      <c r="AG20" s="1083"/>
      <c r="AH20" s="1083"/>
      <c r="AI20" s="88"/>
      <c r="AJ20" s="88"/>
      <c r="AK20" s="1083" t="str">
        <f>IF(OR(F15=4,F15=5),"R6.6","R"&amp;D15&amp;"."&amp;F15)&amp;"～R"&amp;K15&amp;"."&amp;M15</f>
        <v>R6.6～R7.3</v>
      </c>
      <c r="AL20" s="1083"/>
      <c r="AM20" s="1083"/>
      <c r="AN20" s="1083"/>
      <c r="AO20" s="1083"/>
      <c r="AP20" s="1083"/>
      <c r="AS20" s="936" t="str">
        <f>IFERROR(VLOOKUP(AS1,【参考】数式用2!E6:S23,9,FALSE),"")</f>
        <v/>
      </c>
      <c r="AT20" s="937"/>
      <c r="AU20" s="937"/>
      <c r="AV20" s="937"/>
      <c r="AW20" s="937"/>
      <c r="AX20" s="937"/>
      <c r="AY20" s="937"/>
      <c r="AZ20" s="937"/>
      <c r="BA20" s="937"/>
      <c r="BB20" s="937"/>
      <c r="BC20" s="937"/>
      <c r="BD20" s="937"/>
      <c r="BE20" s="937"/>
      <c r="BF20" s="937"/>
      <c r="BG20" s="937"/>
      <c r="BH20" s="938"/>
    </row>
    <row r="21" spans="2:60" ht="17.100000000000001" customHeight="1">
      <c r="B21" s="1071" t="s">
        <v>2122</v>
      </c>
      <c r="C21" s="1072"/>
      <c r="D21" s="1072"/>
      <c r="E21" s="1072"/>
      <c r="F21" s="1073"/>
      <c r="G21" s="1000" t="s">
        <v>217</v>
      </c>
      <c r="H21" s="1001"/>
      <c r="I21" s="1001"/>
      <c r="J21" s="1001"/>
      <c r="K21" s="1001"/>
      <c r="L21" s="1001"/>
      <c r="M21" s="1001"/>
      <c r="N21" s="1001"/>
      <c r="O21" s="1001"/>
      <c r="P21" s="1001"/>
      <c r="Q21" s="1001"/>
      <c r="R21" s="1001"/>
      <c r="S21" s="1001"/>
      <c r="T21" s="1002"/>
      <c r="U21" s="112"/>
      <c r="V21" s="513" t="str">
        <f>IFERROR(IF(L9="ベア加算","✓",""),"")</f>
        <v/>
      </c>
      <c r="W21" s="955" t="s">
        <v>14</v>
      </c>
      <c r="X21" s="955"/>
      <c r="Y21" s="955"/>
      <c r="Z21" s="955"/>
      <c r="AA21" s="945" t="s">
        <v>12</v>
      </c>
      <c r="AB21" s="946"/>
      <c r="AC21" s="113"/>
      <c r="AD21" s="976" t="s">
        <v>14</v>
      </c>
      <c r="AE21" s="976"/>
      <c r="AF21" s="976"/>
      <c r="AG21" s="976"/>
      <c r="AH21" s="976"/>
      <c r="AI21" s="945" t="s">
        <v>12</v>
      </c>
      <c r="AJ21" s="946"/>
      <c r="AK21" s="114"/>
      <c r="AL21" s="976" t="s">
        <v>14</v>
      </c>
      <c r="AM21" s="976"/>
      <c r="AN21" s="976"/>
      <c r="AO21" s="976"/>
      <c r="AP21" s="976"/>
      <c r="AS21" s="939"/>
      <c r="AT21" s="940"/>
      <c r="AU21" s="940"/>
      <c r="AV21" s="940"/>
      <c r="AW21" s="940"/>
      <c r="AX21" s="940"/>
      <c r="AY21" s="940"/>
      <c r="AZ21" s="940"/>
      <c r="BA21" s="940"/>
      <c r="BB21" s="940"/>
      <c r="BC21" s="940"/>
      <c r="BD21" s="940"/>
      <c r="BE21" s="940"/>
      <c r="BF21" s="940"/>
      <c r="BG21" s="940"/>
      <c r="BH21" s="941"/>
    </row>
    <row r="22" spans="2:60" ht="17.100000000000001" customHeight="1" thickBot="1">
      <c r="B22" s="1077"/>
      <c r="C22" s="1078"/>
      <c r="D22" s="1078"/>
      <c r="E22" s="1078"/>
      <c r="F22" s="1079"/>
      <c r="G22" s="1004"/>
      <c r="H22" s="1005"/>
      <c r="I22" s="1005"/>
      <c r="J22" s="1005"/>
      <c r="K22" s="1005"/>
      <c r="L22" s="1005"/>
      <c r="M22" s="1005"/>
      <c r="N22" s="1005"/>
      <c r="O22" s="1005"/>
      <c r="P22" s="1005"/>
      <c r="Q22" s="1005"/>
      <c r="R22" s="1005"/>
      <c r="S22" s="1005"/>
      <c r="T22" s="1006"/>
      <c r="U22" s="112"/>
      <c r="V22" s="115" t="str">
        <f>IFERROR(IF(L9="ベア加算なし","✓",""),"")</f>
        <v/>
      </c>
      <c r="W22" s="977" t="s">
        <v>15</v>
      </c>
      <c r="X22" s="955"/>
      <c r="Y22" s="978"/>
      <c r="Z22" s="979"/>
      <c r="AA22" s="945"/>
      <c r="AB22" s="946"/>
      <c r="AC22" s="113"/>
      <c r="AD22" s="955" t="s">
        <v>15</v>
      </c>
      <c r="AE22" s="955"/>
      <c r="AF22" s="955"/>
      <c r="AG22" s="955"/>
      <c r="AH22" s="955"/>
      <c r="AI22" s="945"/>
      <c r="AJ22" s="946"/>
      <c r="AK22" s="114"/>
      <c r="AL22" s="955" t="s">
        <v>15</v>
      </c>
      <c r="AM22" s="955"/>
      <c r="AN22" s="955"/>
      <c r="AO22" s="955"/>
      <c r="AP22" s="955"/>
      <c r="AS22" s="942"/>
      <c r="AT22" s="943"/>
      <c r="AU22" s="943"/>
      <c r="AV22" s="943"/>
      <c r="AW22" s="943"/>
      <c r="AX22" s="943"/>
      <c r="AY22" s="943"/>
      <c r="AZ22" s="943"/>
      <c r="BA22" s="943"/>
      <c r="BB22" s="943"/>
      <c r="BC22" s="943"/>
      <c r="BD22" s="943"/>
      <c r="BE22" s="943"/>
      <c r="BF22" s="943"/>
      <c r="BG22" s="943"/>
      <c r="BH22" s="944"/>
    </row>
    <row r="23" spans="2:60" ht="11.25" customHeight="1" thickBot="1">
      <c r="G23" s="116"/>
      <c r="H23" s="116"/>
      <c r="I23" s="116"/>
      <c r="J23" s="116"/>
      <c r="K23" s="116"/>
      <c r="L23" s="116"/>
      <c r="M23" s="116"/>
      <c r="N23" s="116"/>
      <c r="O23" s="116"/>
      <c r="P23" s="116"/>
      <c r="Q23" s="116"/>
      <c r="R23" s="116"/>
      <c r="S23" s="116"/>
      <c r="T23" s="116"/>
      <c r="U23" s="117"/>
      <c r="V23" s="118"/>
      <c r="W23" s="94"/>
      <c r="X23" s="94"/>
      <c r="Y23" s="94"/>
      <c r="Z23" s="94"/>
      <c r="AC23" s="119"/>
      <c r="AD23" s="94"/>
      <c r="AE23" s="94"/>
      <c r="AF23" s="94"/>
      <c r="AG23" s="94"/>
      <c r="AH23" s="94"/>
      <c r="AP23" s="120"/>
      <c r="AS23" s="75"/>
      <c r="AT23" s="75"/>
      <c r="AU23" s="75"/>
      <c r="AV23" s="75"/>
      <c r="AW23" s="75"/>
      <c r="AX23" s="75"/>
      <c r="AY23" s="75"/>
      <c r="AZ23" s="75"/>
      <c r="BA23" s="75"/>
      <c r="BB23" s="75"/>
      <c r="BC23" s="75"/>
      <c r="BD23" s="75"/>
      <c r="BE23" s="75"/>
      <c r="BF23" s="75"/>
      <c r="BG23" s="75"/>
      <c r="BH23" s="120"/>
    </row>
    <row r="24" spans="2:60" ht="18" customHeight="1">
      <c r="B24" s="1071" t="s">
        <v>2068</v>
      </c>
      <c r="C24" s="1072"/>
      <c r="D24" s="1072"/>
      <c r="E24" s="1072"/>
      <c r="F24" s="1073"/>
      <c r="G24" s="1000" t="s">
        <v>2321</v>
      </c>
      <c r="H24" s="1001"/>
      <c r="I24" s="1001"/>
      <c r="J24" s="1001"/>
      <c r="K24" s="1001"/>
      <c r="L24" s="1001"/>
      <c r="M24" s="1001"/>
      <c r="N24" s="1001"/>
      <c r="O24" s="1001"/>
      <c r="P24" s="1001"/>
      <c r="Q24" s="1001"/>
      <c r="R24" s="1001"/>
      <c r="S24" s="1001"/>
      <c r="T24" s="1002"/>
      <c r="U24" s="112"/>
      <c r="V24" s="513" t="str">
        <f>IFERROR(IF(OR(B9="処遇加算Ⅰ",B9="処遇加算Ⅱ"),"✓",""),"")</f>
        <v/>
      </c>
      <c r="W24" s="1080" t="s">
        <v>2097</v>
      </c>
      <c r="X24" s="1081"/>
      <c r="Y24" s="1081"/>
      <c r="Z24" s="1082"/>
      <c r="AA24" s="945" t="s">
        <v>12</v>
      </c>
      <c r="AB24" s="946"/>
      <c r="AC24" s="113"/>
      <c r="AD24" s="935" t="s">
        <v>14</v>
      </c>
      <c r="AE24" s="935"/>
      <c r="AF24" s="935"/>
      <c r="AG24" s="935"/>
      <c r="AH24" s="935"/>
      <c r="AI24" s="945" t="s">
        <v>12</v>
      </c>
      <c r="AJ24" s="946"/>
      <c r="AK24" s="113"/>
      <c r="AL24" s="935" t="s">
        <v>14</v>
      </c>
      <c r="AM24" s="935"/>
      <c r="AN24" s="935"/>
      <c r="AO24" s="935"/>
      <c r="AP24" s="935"/>
      <c r="AS24" s="93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37"/>
      <c r="AU24" s="937"/>
      <c r="AV24" s="937"/>
      <c r="AW24" s="937"/>
      <c r="AX24" s="937"/>
      <c r="AY24" s="937"/>
      <c r="AZ24" s="937"/>
      <c r="BA24" s="937"/>
      <c r="BB24" s="937"/>
      <c r="BC24" s="937"/>
      <c r="BD24" s="937"/>
      <c r="BE24" s="937"/>
      <c r="BF24" s="937"/>
      <c r="BG24" s="937"/>
      <c r="BH24" s="938"/>
    </row>
    <row r="25" spans="2:60" ht="21">
      <c r="B25" s="1074"/>
      <c r="C25" s="1075"/>
      <c r="D25" s="1075"/>
      <c r="E25" s="1075"/>
      <c r="F25" s="1076"/>
      <c r="G25" s="949"/>
      <c r="H25" s="950"/>
      <c r="I25" s="950"/>
      <c r="J25" s="950"/>
      <c r="K25" s="950"/>
      <c r="L25" s="950"/>
      <c r="M25" s="950"/>
      <c r="N25" s="950"/>
      <c r="O25" s="950"/>
      <c r="P25" s="950"/>
      <c r="Q25" s="950"/>
      <c r="R25" s="950"/>
      <c r="S25" s="950"/>
      <c r="T25" s="1003"/>
      <c r="U25" s="112"/>
      <c r="V25" s="513" t="str">
        <f>IFERROR(IF(B9="処遇加算Ⅲ","✓",""),"")</f>
        <v/>
      </c>
      <c r="W25" s="1080" t="s">
        <v>19</v>
      </c>
      <c r="X25" s="1081"/>
      <c r="Y25" s="1081"/>
      <c r="Z25" s="1082"/>
      <c r="AA25" s="945"/>
      <c r="AB25" s="946"/>
      <c r="AC25" s="113"/>
      <c r="AD25" s="947" t="s">
        <v>17</v>
      </c>
      <c r="AE25" s="947"/>
      <c r="AF25" s="947"/>
      <c r="AG25" s="947"/>
      <c r="AH25" s="947"/>
      <c r="AI25" s="945"/>
      <c r="AJ25" s="946"/>
      <c r="AK25" s="114"/>
      <c r="AL25" s="947" t="s">
        <v>17</v>
      </c>
      <c r="AM25" s="947"/>
      <c r="AN25" s="947"/>
      <c r="AO25" s="947"/>
      <c r="AP25" s="947"/>
      <c r="AS25" s="939"/>
      <c r="AT25" s="940"/>
      <c r="AU25" s="940"/>
      <c r="AV25" s="940"/>
      <c r="AW25" s="940"/>
      <c r="AX25" s="940"/>
      <c r="AY25" s="940"/>
      <c r="AZ25" s="940"/>
      <c r="BA25" s="940"/>
      <c r="BB25" s="940"/>
      <c r="BC25" s="940"/>
      <c r="BD25" s="940"/>
      <c r="BE25" s="940"/>
      <c r="BF25" s="940"/>
      <c r="BG25" s="940"/>
      <c r="BH25" s="941"/>
    </row>
    <row r="26" spans="2:60" ht="18" customHeight="1" thickBot="1">
      <c r="B26" s="1077"/>
      <c r="C26" s="1078"/>
      <c r="D26" s="1078"/>
      <c r="E26" s="1078"/>
      <c r="F26" s="1079"/>
      <c r="G26" s="1004"/>
      <c r="H26" s="1005"/>
      <c r="I26" s="1005"/>
      <c r="J26" s="1005"/>
      <c r="K26" s="1005"/>
      <c r="L26" s="1005"/>
      <c r="M26" s="1005"/>
      <c r="N26" s="1005"/>
      <c r="O26" s="1005"/>
      <c r="P26" s="1005"/>
      <c r="Q26" s="1005"/>
      <c r="R26" s="1005"/>
      <c r="S26" s="1005"/>
      <c r="T26" s="1006"/>
      <c r="U26" s="89"/>
      <c r="V26" s="513" t="str">
        <f>IFERROR(IF(B9="処遇加算なし","✓",""),"")</f>
        <v/>
      </c>
      <c r="W26" s="1080" t="s">
        <v>2098</v>
      </c>
      <c r="X26" s="1081"/>
      <c r="Y26" s="1081"/>
      <c r="Z26" s="1082"/>
      <c r="AA26" s="945"/>
      <c r="AB26" s="946"/>
      <c r="AC26" s="113"/>
      <c r="AD26" s="935" t="s">
        <v>15</v>
      </c>
      <c r="AE26" s="935"/>
      <c r="AF26" s="935"/>
      <c r="AG26" s="935"/>
      <c r="AH26" s="935"/>
      <c r="AI26" s="945"/>
      <c r="AJ26" s="946"/>
      <c r="AK26" s="114"/>
      <c r="AL26" s="935" t="s">
        <v>15</v>
      </c>
      <c r="AM26" s="935"/>
      <c r="AN26" s="935"/>
      <c r="AO26" s="935"/>
      <c r="AP26" s="935"/>
      <c r="AS26" s="942"/>
      <c r="AT26" s="943"/>
      <c r="AU26" s="943"/>
      <c r="AV26" s="943"/>
      <c r="AW26" s="943"/>
      <c r="AX26" s="943"/>
      <c r="AY26" s="943"/>
      <c r="AZ26" s="943"/>
      <c r="BA26" s="943"/>
      <c r="BB26" s="943"/>
      <c r="BC26" s="943"/>
      <c r="BD26" s="943"/>
      <c r="BE26" s="943"/>
      <c r="BF26" s="943"/>
      <c r="BG26" s="943"/>
      <c r="BH26" s="944"/>
    </row>
    <row r="27" spans="2:60" ht="11.25" customHeight="1" thickBot="1">
      <c r="U27" s="117"/>
      <c r="V27" s="118"/>
      <c r="W27" s="94"/>
      <c r="X27" s="94"/>
      <c r="Y27" s="94"/>
      <c r="Z27" s="94"/>
      <c r="AC27" s="119"/>
      <c r="AD27" s="121"/>
      <c r="AE27" s="121"/>
      <c r="AF27" s="121"/>
      <c r="AG27" s="121"/>
      <c r="AH27" s="121"/>
      <c r="AK27" s="119"/>
      <c r="AL27" s="121"/>
      <c r="AM27" s="121"/>
      <c r="AN27" s="121"/>
      <c r="AO27" s="121"/>
      <c r="AP27" s="121"/>
      <c r="AS27" s="122"/>
      <c r="AT27" s="122"/>
      <c r="AU27" s="122"/>
      <c r="AV27" s="122"/>
      <c r="AW27" s="122"/>
      <c r="AX27" s="122"/>
      <c r="AY27" s="122"/>
      <c r="AZ27" s="122"/>
      <c r="BA27" s="122"/>
      <c r="BB27" s="122"/>
      <c r="BC27" s="122"/>
      <c r="BD27" s="122"/>
      <c r="BE27" s="122"/>
      <c r="BF27" s="122"/>
      <c r="BG27" s="122"/>
      <c r="BH27" s="122"/>
    </row>
    <row r="28" spans="2:60" ht="18" customHeight="1">
      <c r="B28" s="1071" t="s">
        <v>2069</v>
      </c>
      <c r="C28" s="1072"/>
      <c r="D28" s="1072"/>
      <c r="E28" s="1072"/>
      <c r="F28" s="1073"/>
      <c r="G28" s="1000" t="s">
        <v>2322</v>
      </c>
      <c r="H28" s="1001"/>
      <c r="I28" s="1001"/>
      <c r="J28" s="1001"/>
      <c r="K28" s="1001"/>
      <c r="L28" s="1001"/>
      <c r="M28" s="1001"/>
      <c r="N28" s="1001"/>
      <c r="O28" s="1001"/>
      <c r="P28" s="1001"/>
      <c r="Q28" s="1001"/>
      <c r="R28" s="1001"/>
      <c r="S28" s="1001"/>
      <c r="T28" s="1002"/>
      <c r="U28" s="112"/>
      <c r="V28" s="513" t="str">
        <f>IFERROR(IF(OR(B9="処遇加算Ⅰ",B9="処遇加算Ⅱ"),"✓",""),"")</f>
        <v/>
      </c>
      <c r="W28" s="1080" t="s">
        <v>2097</v>
      </c>
      <c r="X28" s="1081"/>
      <c r="Y28" s="1081"/>
      <c r="Z28" s="1082"/>
      <c r="AA28" s="945" t="s">
        <v>12</v>
      </c>
      <c r="AB28" s="946"/>
      <c r="AC28" s="113"/>
      <c r="AD28" s="935" t="s">
        <v>14</v>
      </c>
      <c r="AE28" s="935"/>
      <c r="AF28" s="935"/>
      <c r="AG28" s="935"/>
      <c r="AH28" s="935"/>
      <c r="AI28" s="945" t="s">
        <v>12</v>
      </c>
      <c r="AJ28" s="946"/>
      <c r="AK28" s="113"/>
      <c r="AL28" s="935" t="s">
        <v>14</v>
      </c>
      <c r="AM28" s="935"/>
      <c r="AN28" s="935"/>
      <c r="AO28" s="935"/>
      <c r="AP28" s="935"/>
      <c r="AS28" s="93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37"/>
      <c r="AU28" s="937"/>
      <c r="AV28" s="937"/>
      <c r="AW28" s="937"/>
      <c r="AX28" s="937"/>
      <c r="AY28" s="937"/>
      <c r="AZ28" s="937"/>
      <c r="BA28" s="937"/>
      <c r="BB28" s="937"/>
      <c r="BC28" s="937"/>
      <c r="BD28" s="937"/>
      <c r="BE28" s="937"/>
      <c r="BF28" s="937"/>
      <c r="BG28" s="937"/>
      <c r="BH28" s="938"/>
    </row>
    <row r="29" spans="2:60" ht="21" customHeight="1">
      <c r="B29" s="1074"/>
      <c r="C29" s="1075"/>
      <c r="D29" s="1075"/>
      <c r="E29" s="1075"/>
      <c r="F29" s="1076"/>
      <c r="G29" s="949"/>
      <c r="H29" s="950"/>
      <c r="I29" s="950"/>
      <c r="J29" s="950"/>
      <c r="K29" s="950"/>
      <c r="L29" s="950"/>
      <c r="M29" s="950"/>
      <c r="N29" s="950"/>
      <c r="O29" s="950"/>
      <c r="P29" s="950"/>
      <c r="Q29" s="950"/>
      <c r="R29" s="950"/>
      <c r="S29" s="950"/>
      <c r="T29" s="1003"/>
      <c r="U29" s="112"/>
      <c r="V29" s="513" t="str">
        <f>IFERROR(IF(B9="処遇加算Ⅲ","✓",""),"")</f>
        <v/>
      </c>
      <c r="W29" s="1080" t="s">
        <v>19</v>
      </c>
      <c r="X29" s="1081"/>
      <c r="Y29" s="1081"/>
      <c r="Z29" s="1082"/>
      <c r="AA29" s="945"/>
      <c r="AB29" s="946"/>
      <c r="AC29" s="113"/>
      <c r="AD29" s="947" t="s">
        <v>17</v>
      </c>
      <c r="AE29" s="947"/>
      <c r="AF29" s="947"/>
      <c r="AG29" s="947"/>
      <c r="AH29" s="947"/>
      <c r="AI29" s="945"/>
      <c r="AJ29" s="946"/>
      <c r="AK29" s="114"/>
      <c r="AL29" s="947" t="s">
        <v>17</v>
      </c>
      <c r="AM29" s="947"/>
      <c r="AN29" s="947"/>
      <c r="AO29" s="947"/>
      <c r="AP29" s="947"/>
      <c r="AS29" s="939"/>
      <c r="AT29" s="940"/>
      <c r="AU29" s="940"/>
      <c r="AV29" s="940"/>
      <c r="AW29" s="940"/>
      <c r="AX29" s="940"/>
      <c r="AY29" s="940"/>
      <c r="AZ29" s="940"/>
      <c r="BA29" s="940"/>
      <c r="BB29" s="940"/>
      <c r="BC29" s="940"/>
      <c r="BD29" s="940"/>
      <c r="BE29" s="940"/>
      <c r="BF29" s="940"/>
      <c r="BG29" s="940"/>
      <c r="BH29" s="941"/>
    </row>
    <row r="30" spans="2:60" ht="18" customHeight="1" thickBot="1">
      <c r="B30" s="1077"/>
      <c r="C30" s="1078"/>
      <c r="D30" s="1078"/>
      <c r="E30" s="1078"/>
      <c r="F30" s="1079"/>
      <c r="G30" s="1004"/>
      <c r="H30" s="1005"/>
      <c r="I30" s="1005"/>
      <c r="J30" s="1005"/>
      <c r="K30" s="1005"/>
      <c r="L30" s="1005"/>
      <c r="M30" s="1005"/>
      <c r="N30" s="1005"/>
      <c r="O30" s="1005"/>
      <c r="P30" s="1005"/>
      <c r="Q30" s="1005"/>
      <c r="R30" s="1005"/>
      <c r="S30" s="1005"/>
      <c r="T30" s="1006"/>
      <c r="U30" s="89"/>
      <c r="V30" s="513" t="str">
        <f>IFERROR(IF(B9="処遇加算なし","✓",""),"")</f>
        <v/>
      </c>
      <c r="W30" s="1080" t="s">
        <v>2098</v>
      </c>
      <c r="X30" s="1081"/>
      <c r="Y30" s="1081"/>
      <c r="Z30" s="1082"/>
      <c r="AA30" s="945"/>
      <c r="AB30" s="946"/>
      <c r="AC30" s="113"/>
      <c r="AD30" s="935" t="s">
        <v>15</v>
      </c>
      <c r="AE30" s="935"/>
      <c r="AF30" s="935"/>
      <c r="AG30" s="935"/>
      <c r="AH30" s="935"/>
      <c r="AI30" s="945"/>
      <c r="AJ30" s="946"/>
      <c r="AK30" s="114"/>
      <c r="AL30" s="935" t="s">
        <v>15</v>
      </c>
      <c r="AM30" s="935"/>
      <c r="AN30" s="935"/>
      <c r="AO30" s="935"/>
      <c r="AP30" s="935"/>
      <c r="AS30" s="942"/>
      <c r="AT30" s="943"/>
      <c r="AU30" s="943"/>
      <c r="AV30" s="943"/>
      <c r="AW30" s="943"/>
      <c r="AX30" s="943"/>
      <c r="AY30" s="943"/>
      <c r="AZ30" s="943"/>
      <c r="BA30" s="943"/>
      <c r="BB30" s="943"/>
      <c r="BC30" s="943"/>
      <c r="BD30" s="943"/>
      <c r="BE30" s="943"/>
      <c r="BF30" s="943"/>
      <c r="BG30" s="943"/>
      <c r="BH30" s="944"/>
    </row>
    <row r="31" spans="2:60" ht="11.25" customHeight="1" thickBot="1">
      <c r="U31" s="117"/>
      <c r="V31" s="118"/>
      <c r="W31" s="94"/>
      <c r="X31" s="94"/>
      <c r="Y31" s="94"/>
      <c r="Z31" s="94"/>
      <c r="AC31" s="119"/>
      <c r="AD31" s="121"/>
      <c r="AE31" s="121"/>
      <c r="AF31" s="121"/>
      <c r="AG31" s="121"/>
      <c r="AH31" s="121"/>
      <c r="AK31" s="119"/>
      <c r="AL31" s="121"/>
      <c r="AM31" s="121"/>
      <c r="AN31" s="121"/>
      <c r="AO31" s="121"/>
      <c r="AP31" s="121"/>
      <c r="AS31" s="122"/>
      <c r="AT31" s="122"/>
      <c r="AU31" s="122"/>
      <c r="AV31" s="122"/>
      <c r="AW31" s="122"/>
      <c r="AX31" s="122"/>
      <c r="AY31" s="122"/>
      <c r="AZ31" s="122"/>
      <c r="BA31" s="122"/>
      <c r="BB31" s="122"/>
      <c r="BC31" s="122"/>
      <c r="BD31" s="122"/>
      <c r="BE31" s="122"/>
      <c r="BF31" s="122"/>
      <c r="BG31" s="122"/>
      <c r="BH31" s="122"/>
    </row>
    <row r="32" spans="2:60" ht="15" customHeight="1">
      <c r="B32" s="1047" t="s">
        <v>2070</v>
      </c>
      <c r="C32" s="1047"/>
      <c r="D32" s="1047"/>
      <c r="E32" s="1047"/>
      <c r="F32" s="1047"/>
      <c r="G32" s="1000" t="s">
        <v>2323</v>
      </c>
      <c r="H32" s="1001"/>
      <c r="I32" s="1001"/>
      <c r="J32" s="1001"/>
      <c r="K32" s="1001"/>
      <c r="L32" s="1001"/>
      <c r="M32" s="1001"/>
      <c r="N32" s="1001"/>
      <c r="O32" s="1001"/>
      <c r="P32" s="1001"/>
      <c r="Q32" s="1001"/>
      <c r="R32" s="1001"/>
      <c r="S32" s="1001"/>
      <c r="T32" s="1002"/>
      <c r="U32" s="112"/>
      <c r="V32" s="513" t="str">
        <f>IFERROR(IF(B9="処遇加算Ⅰ","✓",""),"")</f>
        <v/>
      </c>
      <c r="W32" s="977" t="s">
        <v>14</v>
      </c>
      <c r="X32" s="978"/>
      <c r="Y32" s="978"/>
      <c r="Z32" s="979"/>
      <c r="AA32" s="956" t="s">
        <v>12</v>
      </c>
      <c r="AB32" s="946"/>
      <c r="AC32" s="113"/>
      <c r="AD32" s="935" t="s">
        <v>14</v>
      </c>
      <c r="AE32" s="935"/>
      <c r="AF32" s="935"/>
      <c r="AG32" s="935"/>
      <c r="AH32" s="935"/>
      <c r="AI32" s="956" t="s">
        <v>12</v>
      </c>
      <c r="AJ32" s="946"/>
      <c r="AK32" s="113"/>
      <c r="AL32" s="935" t="s">
        <v>14</v>
      </c>
      <c r="AM32" s="935"/>
      <c r="AN32" s="935"/>
      <c r="AO32" s="935"/>
      <c r="AP32" s="935"/>
      <c r="AS32" s="93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37"/>
      <c r="AU32" s="937"/>
      <c r="AV32" s="937"/>
      <c r="AW32" s="937"/>
      <c r="AX32" s="937"/>
      <c r="AY32" s="937"/>
      <c r="AZ32" s="937"/>
      <c r="BA32" s="937"/>
      <c r="BB32" s="937"/>
      <c r="BC32" s="937"/>
      <c r="BD32" s="937"/>
      <c r="BE32" s="937"/>
      <c r="BF32" s="937"/>
      <c r="BG32" s="937"/>
      <c r="BH32" s="938"/>
    </row>
    <row r="33" spans="2:82" ht="21" customHeight="1">
      <c r="B33" s="1047"/>
      <c r="C33" s="1047"/>
      <c r="D33" s="1047"/>
      <c r="E33" s="1047"/>
      <c r="F33" s="1047"/>
      <c r="G33" s="949"/>
      <c r="H33" s="950"/>
      <c r="I33" s="950"/>
      <c r="J33" s="950"/>
      <c r="K33" s="950"/>
      <c r="L33" s="950"/>
      <c r="M33" s="950"/>
      <c r="N33" s="950"/>
      <c r="O33" s="950"/>
      <c r="P33" s="950"/>
      <c r="Q33" s="950"/>
      <c r="R33" s="950"/>
      <c r="S33" s="950"/>
      <c r="T33" s="1003"/>
      <c r="U33" s="112"/>
      <c r="V33" s="513" t="str">
        <f>IFERROR(IF(AND(B9&lt;&gt;"",B9&lt;&gt;"処遇加算Ⅰ"),"✓",""),"")</f>
        <v/>
      </c>
      <c r="W33" s="977" t="s">
        <v>15</v>
      </c>
      <c r="X33" s="978"/>
      <c r="Y33" s="978"/>
      <c r="Z33" s="979"/>
      <c r="AA33" s="956"/>
      <c r="AB33" s="946"/>
      <c r="AC33" s="113"/>
      <c r="AD33" s="980" t="s">
        <v>17</v>
      </c>
      <c r="AE33" s="980"/>
      <c r="AF33" s="980"/>
      <c r="AG33" s="980"/>
      <c r="AH33" s="980"/>
      <c r="AI33" s="956"/>
      <c r="AJ33" s="946"/>
      <c r="AK33" s="123"/>
      <c r="AL33" s="947" t="s">
        <v>17</v>
      </c>
      <c r="AM33" s="947"/>
      <c r="AN33" s="947"/>
      <c r="AO33" s="947"/>
      <c r="AP33" s="947"/>
      <c r="AS33" s="939"/>
      <c r="AT33" s="940"/>
      <c r="AU33" s="940"/>
      <c r="AV33" s="940"/>
      <c r="AW33" s="940"/>
      <c r="AX33" s="940"/>
      <c r="AY33" s="940"/>
      <c r="AZ33" s="940"/>
      <c r="BA33" s="940"/>
      <c r="BB33" s="940"/>
      <c r="BC33" s="940"/>
      <c r="BD33" s="940"/>
      <c r="BE33" s="940"/>
      <c r="BF33" s="940"/>
      <c r="BG33" s="940"/>
      <c r="BH33" s="941"/>
    </row>
    <row r="34" spans="2:82" ht="18.75" customHeight="1" thickBot="1">
      <c r="B34" s="1047"/>
      <c r="C34" s="1047"/>
      <c r="D34" s="1047"/>
      <c r="E34" s="1047"/>
      <c r="F34" s="1047"/>
      <c r="G34" s="1004"/>
      <c r="H34" s="1005"/>
      <c r="I34" s="1005"/>
      <c r="J34" s="1005"/>
      <c r="K34" s="1005"/>
      <c r="L34" s="1005"/>
      <c r="M34" s="1005"/>
      <c r="N34" s="1005"/>
      <c r="O34" s="1005"/>
      <c r="P34" s="1005"/>
      <c r="Q34" s="1005"/>
      <c r="R34" s="1005"/>
      <c r="S34" s="1005"/>
      <c r="T34" s="1006"/>
      <c r="U34" s="89"/>
      <c r="V34" s="118"/>
      <c r="W34" s="94"/>
      <c r="X34" s="94"/>
      <c r="Y34" s="94"/>
      <c r="Z34" s="94"/>
      <c r="AA34" s="956"/>
      <c r="AB34" s="946"/>
      <c r="AC34" s="113"/>
      <c r="AD34" s="955" t="s">
        <v>15</v>
      </c>
      <c r="AE34" s="955"/>
      <c r="AF34" s="955"/>
      <c r="AG34" s="955"/>
      <c r="AH34" s="955"/>
      <c r="AI34" s="956"/>
      <c r="AJ34" s="946"/>
      <c r="AK34" s="113"/>
      <c r="AL34" s="955" t="s">
        <v>15</v>
      </c>
      <c r="AM34" s="955"/>
      <c r="AN34" s="955"/>
      <c r="AO34" s="955"/>
      <c r="AP34" s="955"/>
      <c r="AS34" s="942"/>
      <c r="AT34" s="943"/>
      <c r="AU34" s="943"/>
      <c r="AV34" s="943"/>
      <c r="AW34" s="943"/>
      <c r="AX34" s="943"/>
      <c r="AY34" s="943"/>
      <c r="AZ34" s="943"/>
      <c r="BA34" s="943"/>
      <c r="BB34" s="943"/>
      <c r="BC34" s="943"/>
      <c r="BD34" s="943"/>
      <c r="BE34" s="943"/>
      <c r="BF34" s="943"/>
      <c r="BG34" s="943"/>
      <c r="BH34" s="944"/>
    </row>
    <row r="35" spans="2:82" ht="11.25" customHeight="1" thickBot="1">
      <c r="B35" s="124"/>
      <c r="C35" s="124"/>
      <c r="D35" s="124"/>
      <c r="E35" s="124"/>
      <c r="F35" s="124"/>
      <c r="G35" s="125"/>
      <c r="H35" s="125"/>
      <c r="I35" s="125"/>
      <c r="J35" s="125"/>
      <c r="K35" s="125"/>
      <c r="L35" s="125"/>
      <c r="M35" s="125"/>
      <c r="N35" s="125"/>
      <c r="O35" s="125"/>
      <c r="P35" s="125"/>
      <c r="Q35" s="125"/>
      <c r="R35" s="125"/>
      <c r="S35" s="125"/>
      <c r="T35" s="125"/>
      <c r="U35" s="117"/>
      <c r="V35" s="118"/>
      <c r="W35" s="94"/>
      <c r="X35" s="94"/>
      <c r="Y35" s="94"/>
      <c r="Z35" s="94"/>
      <c r="AC35" s="119"/>
      <c r="AD35" s="94"/>
      <c r="AE35" s="94"/>
      <c r="AF35" s="94"/>
      <c r="AG35" s="94"/>
      <c r="AH35" s="94"/>
      <c r="AK35" s="119"/>
      <c r="AL35" s="94"/>
      <c r="AM35" s="94"/>
      <c r="AN35" s="94"/>
      <c r="AO35" s="94"/>
      <c r="AP35" s="94"/>
      <c r="AR35" s="117"/>
      <c r="AS35" s="122"/>
      <c r="AT35" s="122"/>
      <c r="AU35" s="122"/>
      <c r="AV35" s="122"/>
      <c r="AW35" s="122"/>
      <c r="AX35" s="122"/>
      <c r="AY35" s="122"/>
      <c r="AZ35" s="122"/>
      <c r="BA35" s="122"/>
      <c r="BB35" s="122"/>
      <c r="BC35" s="122"/>
      <c r="BD35" s="122"/>
      <c r="BE35" s="122"/>
      <c r="BF35" s="122"/>
      <c r="BG35" s="122"/>
      <c r="BH35" s="122"/>
    </row>
    <row r="36" spans="2:82" ht="17.100000000000001" customHeight="1">
      <c r="B36" s="1047" t="s">
        <v>2071</v>
      </c>
      <c r="C36" s="1047"/>
      <c r="D36" s="1047"/>
      <c r="E36" s="1047"/>
      <c r="F36" s="1047"/>
      <c r="G36" s="1017" t="s">
        <v>2324</v>
      </c>
      <c r="H36" s="1018"/>
      <c r="I36" s="1018"/>
      <c r="J36" s="1018"/>
      <c r="K36" s="1018"/>
      <c r="L36" s="1018"/>
      <c r="M36" s="1018"/>
      <c r="N36" s="1018"/>
      <c r="O36" s="1018"/>
      <c r="P36" s="1018"/>
      <c r="Q36" s="1018"/>
      <c r="R36" s="1018"/>
      <c r="S36" s="1018"/>
      <c r="T36" s="1019"/>
      <c r="U36" s="112"/>
      <c r="V36" s="513" t="str">
        <f>IFERROR(IF(OR(G9="特定加算Ⅰ",G9="特定加算Ⅱ"),"✓",""),"")</f>
        <v/>
      </c>
      <c r="W36" s="977" t="s">
        <v>14</v>
      </c>
      <c r="X36" s="978"/>
      <c r="Y36" s="978"/>
      <c r="Z36" s="979"/>
      <c r="AA36" s="945" t="s">
        <v>12</v>
      </c>
      <c r="AB36" s="946"/>
      <c r="AC36" s="113"/>
      <c r="AD36" s="955" t="s">
        <v>14</v>
      </c>
      <c r="AE36" s="955"/>
      <c r="AF36" s="955"/>
      <c r="AG36" s="955"/>
      <c r="AH36" s="955"/>
      <c r="AI36" s="945" t="s">
        <v>12</v>
      </c>
      <c r="AJ36" s="946"/>
      <c r="AK36" s="113"/>
      <c r="AL36" s="955" t="s">
        <v>14</v>
      </c>
      <c r="AM36" s="955"/>
      <c r="AN36" s="955"/>
      <c r="AO36" s="955"/>
      <c r="AP36" s="955"/>
      <c r="AS36" s="93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37"/>
      <c r="AU36" s="937"/>
      <c r="AV36" s="937"/>
      <c r="AW36" s="937"/>
      <c r="AX36" s="937"/>
      <c r="AY36" s="937"/>
      <c r="AZ36" s="937"/>
      <c r="BA36" s="937"/>
      <c r="BB36" s="937"/>
      <c r="BC36" s="937"/>
      <c r="BD36" s="937"/>
      <c r="BE36" s="937"/>
      <c r="BF36" s="937"/>
      <c r="BG36" s="937"/>
      <c r="BH36" s="938"/>
    </row>
    <row r="37" spans="2:82" ht="21" customHeight="1">
      <c r="B37" s="1047"/>
      <c r="C37" s="1047"/>
      <c r="D37" s="1047"/>
      <c r="E37" s="1047"/>
      <c r="F37" s="1047"/>
      <c r="G37" s="1020"/>
      <c r="H37" s="1021"/>
      <c r="I37" s="1021"/>
      <c r="J37" s="1021"/>
      <c r="K37" s="1021"/>
      <c r="L37" s="1021"/>
      <c r="M37" s="1021"/>
      <c r="N37" s="1021"/>
      <c r="O37" s="1021"/>
      <c r="P37" s="1021"/>
      <c r="Q37" s="1021"/>
      <c r="R37" s="1021"/>
      <c r="S37" s="1021"/>
      <c r="T37" s="1022"/>
      <c r="U37" s="112"/>
      <c r="V37" s="513" t="str">
        <f>IFERROR(IF(G9="特定加算なし","✓",""),"")</f>
        <v/>
      </c>
      <c r="W37" s="977" t="s">
        <v>15</v>
      </c>
      <c r="X37" s="978"/>
      <c r="Y37" s="978"/>
      <c r="Z37" s="979"/>
      <c r="AA37" s="945"/>
      <c r="AB37" s="946"/>
      <c r="AC37" s="971" t="s">
        <v>2176</v>
      </c>
      <c r="AD37" s="972"/>
      <c r="AE37" s="972"/>
      <c r="AF37" s="972"/>
      <c r="AG37" s="973"/>
      <c r="AH37" s="974"/>
      <c r="AI37" s="945"/>
      <c r="AJ37" s="946"/>
      <c r="AK37" s="971" t="s">
        <v>2176</v>
      </c>
      <c r="AL37" s="972"/>
      <c r="AM37" s="972"/>
      <c r="AN37" s="972"/>
      <c r="AO37" s="973"/>
      <c r="AP37" s="974"/>
      <c r="AS37" s="939"/>
      <c r="AT37" s="940"/>
      <c r="AU37" s="940"/>
      <c r="AV37" s="940"/>
      <c r="AW37" s="940"/>
      <c r="AX37" s="940"/>
      <c r="AY37" s="940"/>
      <c r="AZ37" s="940"/>
      <c r="BA37" s="940"/>
      <c r="BB37" s="940"/>
      <c r="BC37" s="940"/>
      <c r="BD37" s="940"/>
      <c r="BE37" s="940"/>
      <c r="BF37" s="940"/>
      <c r="BG37" s="940"/>
      <c r="BH37" s="941"/>
    </row>
    <row r="38" spans="2:82" ht="17.100000000000001" customHeight="1" thickBot="1">
      <c r="B38" s="1047"/>
      <c r="C38" s="1047"/>
      <c r="D38" s="1047"/>
      <c r="E38" s="1047"/>
      <c r="F38" s="1047"/>
      <c r="G38" s="1023"/>
      <c r="H38" s="1024"/>
      <c r="I38" s="1024"/>
      <c r="J38" s="1024"/>
      <c r="K38" s="1024"/>
      <c r="L38" s="1024"/>
      <c r="M38" s="1024"/>
      <c r="N38" s="1024"/>
      <c r="O38" s="1024"/>
      <c r="P38" s="1024"/>
      <c r="Q38" s="1024"/>
      <c r="R38" s="1024"/>
      <c r="S38" s="1024"/>
      <c r="T38" s="1025"/>
      <c r="U38" s="112"/>
      <c r="Z38" s="126"/>
      <c r="AA38" s="956"/>
      <c r="AB38" s="946"/>
      <c r="AC38" s="113"/>
      <c r="AD38" s="955" t="s">
        <v>15</v>
      </c>
      <c r="AE38" s="955"/>
      <c r="AF38" s="955"/>
      <c r="AG38" s="955"/>
      <c r="AH38" s="955"/>
      <c r="AI38" s="945"/>
      <c r="AJ38" s="946"/>
      <c r="AK38" s="113"/>
      <c r="AL38" s="955" t="s">
        <v>15</v>
      </c>
      <c r="AM38" s="955"/>
      <c r="AN38" s="955"/>
      <c r="AO38" s="955"/>
      <c r="AP38" s="955"/>
      <c r="AS38" s="942"/>
      <c r="AT38" s="943"/>
      <c r="AU38" s="943"/>
      <c r="AV38" s="943"/>
      <c r="AW38" s="943"/>
      <c r="AX38" s="943"/>
      <c r="AY38" s="943"/>
      <c r="AZ38" s="943"/>
      <c r="BA38" s="943"/>
      <c r="BB38" s="943"/>
      <c r="BC38" s="943"/>
      <c r="BD38" s="943"/>
      <c r="BE38" s="943"/>
      <c r="BF38" s="943"/>
      <c r="BG38" s="943"/>
      <c r="BH38" s="944"/>
    </row>
    <row r="39" spans="2:82" ht="11.25" customHeight="1" thickBot="1">
      <c r="B39" s="124"/>
      <c r="C39" s="124"/>
      <c r="D39" s="124"/>
      <c r="E39" s="124"/>
      <c r="F39" s="124"/>
      <c r="G39" s="125"/>
      <c r="H39" s="125"/>
      <c r="I39" s="125"/>
      <c r="J39" s="125"/>
      <c r="K39" s="125"/>
      <c r="L39" s="125"/>
      <c r="M39" s="125"/>
      <c r="N39" s="125"/>
      <c r="O39" s="125"/>
      <c r="P39" s="125"/>
      <c r="Q39" s="125"/>
      <c r="R39" s="125"/>
      <c r="S39" s="125"/>
      <c r="T39" s="125"/>
      <c r="V39" s="118"/>
      <c r="W39" s="94"/>
      <c r="X39" s="94"/>
      <c r="Y39" s="94"/>
      <c r="Z39" s="94"/>
      <c r="AC39" s="119"/>
      <c r="AD39" s="94"/>
      <c r="AE39" s="94"/>
      <c r="AF39" s="94"/>
      <c r="AG39" s="94"/>
      <c r="AH39" s="94"/>
      <c r="AK39" s="119"/>
      <c r="AL39" s="94"/>
      <c r="AM39" s="94"/>
      <c r="AN39" s="94"/>
      <c r="AO39" s="94"/>
      <c r="AP39" s="94"/>
      <c r="AS39" s="122"/>
      <c r="AT39" s="122"/>
      <c r="AU39" s="122"/>
      <c r="AV39" s="122"/>
      <c r="AW39" s="122"/>
      <c r="AX39" s="122"/>
      <c r="AY39" s="122"/>
      <c r="AZ39" s="122"/>
      <c r="BA39" s="122"/>
      <c r="BB39" s="122"/>
      <c r="BC39" s="122"/>
      <c r="BD39" s="122"/>
      <c r="BE39" s="122"/>
      <c r="BF39" s="122"/>
      <c r="BG39" s="122"/>
      <c r="BH39" s="122"/>
    </row>
    <row r="40" spans="2:82" ht="17.100000000000001" customHeight="1">
      <c r="B40" s="1047" t="s">
        <v>2072</v>
      </c>
      <c r="C40" s="1047"/>
      <c r="D40" s="1047"/>
      <c r="E40" s="1047"/>
      <c r="F40" s="1047"/>
      <c r="G40" s="1000" t="str">
        <f>IFERROR(VLOOKUP(Y5,【参考】数式用!AQ5:AR37,2,0),"")</f>
        <v/>
      </c>
      <c r="H40" s="1001"/>
      <c r="I40" s="1001"/>
      <c r="J40" s="1001"/>
      <c r="K40" s="1001"/>
      <c r="L40" s="1001"/>
      <c r="M40" s="1001"/>
      <c r="N40" s="1001"/>
      <c r="O40" s="1001"/>
      <c r="P40" s="1001"/>
      <c r="Q40" s="1001"/>
      <c r="R40" s="1001"/>
      <c r="S40" s="1001"/>
      <c r="T40" s="1002"/>
      <c r="U40" s="89"/>
      <c r="V40" s="513" t="str">
        <f>IFERROR(IF(G9="特定加算Ⅰ","✓",""),"")</f>
        <v/>
      </c>
      <c r="W40" s="977" t="s">
        <v>14</v>
      </c>
      <c r="X40" s="978"/>
      <c r="Y40" s="978"/>
      <c r="Z40" s="979"/>
      <c r="AA40" s="945" t="s">
        <v>12</v>
      </c>
      <c r="AB40" s="946"/>
      <c r="AC40" s="113"/>
      <c r="AD40" s="955" t="s">
        <v>14</v>
      </c>
      <c r="AE40" s="955"/>
      <c r="AF40" s="955"/>
      <c r="AG40" s="955"/>
      <c r="AH40" s="955"/>
      <c r="AI40" s="945" t="s">
        <v>12</v>
      </c>
      <c r="AJ40" s="946"/>
      <c r="AK40" s="113"/>
      <c r="AL40" s="955" t="s">
        <v>14</v>
      </c>
      <c r="AM40" s="955"/>
      <c r="AN40" s="955"/>
      <c r="AO40" s="955"/>
      <c r="AP40" s="955"/>
      <c r="AS40" s="93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37"/>
      <c r="AU40" s="937"/>
      <c r="AV40" s="937"/>
      <c r="AW40" s="937"/>
      <c r="AX40" s="937"/>
      <c r="AY40" s="937"/>
      <c r="AZ40" s="937"/>
      <c r="BA40" s="937"/>
      <c r="BB40" s="937"/>
      <c r="BC40" s="937"/>
      <c r="BD40" s="937"/>
      <c r="BE40" s="937"/>
      <c r="BF40" s="937"/>
      <c r="BG40" s="937"/>
      <c r="BH40" s="938"/>
    </row>
    <row r="41" spans="2:82" ht="22.5" customHeight="1">
      <c r="B41" s="1047"/>
      <c r="C41" s="1047"/>
      <c r="D41" s="1047"/>
      <c r="E41" s="1047"/>
      <c r="F41" s="1047"/>
      <c r="G41" s="949"/>
      <c r="H41" s="950"/>
      <c r="I41" s="950"/>
      <c r="J41" s="950"/>
      <c r="K41" s="950"/>
      <c r="L41" s="950"/>
      <c r="M41" s="950"/>
      <c r="N41" s="950"/>
      <c r="O41" s="950"/>
      <c r="P41" s="950"/>
      <c r="Q41" s="950"/>
      <c r="R41" s="950"/>
      <c r="S41" s="950"/>
      <c r="T41" s="1003"/>
      <c r="U41" s="89"/>
      <c r="V41" s="513" t="str">
        <f>IFERROR(IF(OR(G9="特定加算Ⅱ",G9="特定加算なし"),"✓",""),"")</f>
        <v/>
      </c>
      <c r="W41" s="977" t="s">
        <v>15</v>
      </c>
      <c r="X41" s="978"/>
      <c r="Y41" s="978"/>
      <c r="Z41" s="979"/>
      <c r="AA41" s="945"/>
      <c r="AB41" s="946"/>
      <c r="AC41" s="127" t="s">
        <v>83</v>
      </c>
      <c r="AD41" s="1084"/>
      <c r="AE41" s="1085"/>
      <c r="AF41" s="1085"/>
      <c r="AG41" s="1085"/>
      <c r="AH41" s="1086"/>
      <c r="AI41" s="945"/>
      <c r="AJ41" s="946"/>
      <c r="AK41" s="127" t="s">
        <v>83</v>
      </c>
      <c r="AL41" s="1084"/>
      <c r="AM41" s="1085"/>
      <c r="AN41" s="1085"/>
      <c r="AO41" s="1085"/>
      <c r="AP41" s="1086"/>
      <c r="AS41" s="939"/>
      <c r="AT41" s="940"/>
      <c r="AU41" s="940"/>
      <c r="AV41" s="940"/>
      <c r="AW41" s="940"/>
      <c r="AX41" s="940"/>
      <c r="AY41" s="940"/>
      <c r="AZ41" s="940"/>
      <c r="BA41" s="940"/>
      <c r="BB41" s="940"/>
      <c r="BC41" s="940"/>
      <c r="BD41" s="940"/>
      <c r="BE41" s="940"/>
      <c r="BF41" s="940"/>
      <c r="BG41" s="940"/>
      <c r="BH41" s="941"/>
    </row>
    <row r="42" spans="2:82" ht="17.100000000000001" customHeight="1" thickBot="1">
      <c r="B42" s="1047"/>
      <c r="C42" s="1047"/>
      <c r="D42" s="1047"/>
      <c r="E42" s="1047"/>
      <c r="F42" s="1047"/>
      <c r="G42" s="1004"/>
      <c r="H42" s="1005"/>
      <c r="I42" s="1005"/>
      <c r="J42" s="1005"/>
      <c r="K42" s="1005"/>
      <c r="L42" s="1005"/>
      <c r="M42" s="1005"/>
      <c r="N42" s="1005"/>
      <c r="O42" s="1005"/>
      <c r="P42" s="1005"/>
      <c r="Q42" s="1005"/>
      <c r="R42" s="1005"/>
      <c r="S42" s="1005"/>
      <c r="T42" s="1006"/>
      <c r="U42" s="89"/>
      <c r="V42" s="82"/>
      <c r="W42" s="128"/>
      <c r="X42" s="128"/>
      <c r="Y42" s="128"/>
      <c r="Z42" s="128"/>
      <c r="AA42" s="510"/>
      <c r="AB42" s="510"/>
      <c r="AC42" s="129"/>
      <c r="AD42" s="955" t="s">
        <v>15</v>
      </c>
      <c r="AE42" s="955"/>
      <c r="AF42" s="955"/>
      <c r="AG42" s="955"/>
      <c r="AH42" s="955"/>
      <c r="AI42" s="510"/>
      <c r="AJ42" s="510"/>
      <c r="AK42" s="129"/>
      <c r="AL42" s="955" t="s">
        <v>15</v>
      </c>
      <c r="AM42" s="955"/>
      <c r="AN42" s="955"/>
      <c r="AO42" s="955"/>
      <c r="AP42" s="955"/>
      <c r="AS42" s="942"/>
      <c r="AT42" s="943"/>
      <c r="AU42" s="943"/>
      <c r="AV42" s="943"/>
      <c r="AW42" s="943"/>
      <c r="AX42" s="943"/>
      <c r="AY42" s="943"/>
      <c r="AZ42" s="943"/>
      <c r="BA42" s="943"/>
      <c r="BB42" s="943"/>
      <c r="BC42" s="943"/>
      <c r="BD42" s="943"/>
      <c r="BE42" s="943"/>
      <c r="BF42" s="943"/>
      <c r="BG42" s="943"/>
      <c r="BH42" s="944"/>
    </row>
    <row r="43" spans="2:82" ht="11.25" customHeight="1" thickBot="1">
      <c r="B43" s="124"/>
      <c r="C43" s="124"/>
      <c r="D43" s="124"/>
      <c r="E43" s="124"/>
      <c r="F43" s="124"/>
      <c r="G43" s="130"/>
      <c r="H43" s="130"/>
      <c r="I43" s="130"/>
      <c r="J43" s="130"/>
      <c r="K43" s="130"/>
      <c r="L43" s="130"/>
      <c r="M43" s="130"/>
      <c r="N43" s="130"/>
      <c r="O43" s="130"/>
      <c r="P43" s="130"/>
      <c r="Q43" s="130"/>
      <c r="R43" s="130"/>
      <c r="S43" s="130"/>
      <c r="T43" s="130"/>
      <c r="U43" s="117"/>
      <c r="V43" s="118"/>
      <c r="W43" s="94"/>
      <c r="X43" s="94"/>
      <c r="Y43" s="94"/>
      <c r="Z43" s="94"/>
      <c r="AD43" s="94"/>
      <c r="AE43" s="94"/>
      <c r="AF43" s="94"/>
      <c r="AG43" s="94"/>
      <c r="AH43" s="94"/>
      <c r="AL43" s="94"/>
      <c r="AM43" s="94"/>
      <c r="AN43" s="94"/>
      <c r="AO43" s="94"/>
      <c r="AP43" s="94"/>
      <c r="AS43" s="122"/>
      <c r="AT43" s="122"/>
      <c r="AU43" s="122"/>
      <c r="AV43" s="122"/>
      <c r="AW43" s="122"/>
      <c r="AX43" s="122"/>
      <c r="AY43" s="122"/>
      <c r="AZ43" s="122"/>
      <c r="BA43" s="122"/>
      <c r="BB43" s="122"/>
      <c r="BC43" s="122"/>
      <c r="BD43" s="122"/>
      <c r="BE43" s="122"/>
      <c r="BF43" s="122"/>
      <c r="BG43" s="122"/>
      <c r="BH43" s="122"/>
    </row>
    <row r="44" spans="2:82" ht="17.100000000000001" customHeight="1">
      <c r="B44" s="1047" t="s">
        <v>2073</v>
      </c>
      <c r="C44" s="1047"/>
      <c r="D44" s="1047"/>
      <c r="E44" s="1047"/>
      <c r="F44" s="1047"/>
      <c r="G44" s="1000" t="s">
        <v>2375</v>
      </c>
      <c r="H44" s="1001"/>
      <c r="I44" s="1001"/>
      <c r="J44" s="1001"/>
      <c r="K44" s="1001"/>
      <c r="L44" s="1001"/>
      <c r="M44" s="1001"/>
      <c r="N44" s="1001"/>
      <c r="O44" s="1001"/>
      <c r="P44" s="1001"/>
      <c r="Q44" s="1001"/>
      <c r="R44" s="1001"/>
      <c r="S44" s="1001"/>
      <c r="T44" s="1002"/>
      <c r="U44" s="112"/>
      <c r="V44" s="513" t="str">
        <f>IFERROR(IF(OR(G9="特定加算Ⅰ",G9="特定加算Ⅱ"),"✓",""),"")</f>
        <v/>
      </c>
      <c r="W44" s="977" t="s">
        <v>14</v>
      </c>
      <c r="X44" s="978"/>
      <c r="Y44" s="978"/>
      <c r="Z44" s="979"/>
      <c r="AA44" s="945" t="s">
        <v>12</v>
      </c>
      <c r="AB44" s="946"/>
      <c r="AC44" s="113"/>
      <c r="AD44" s="955" t="s">
        <v>14</v>
      </c>
      <c r="AE44" s="955"/>
      <c r="AF44" s="955"/>
      <c r="AG44" s="955"/>
      <c r="AH44" s="955"/>
      <c r="AI44" s="945" t="s">
        <v>12</v>
      </c>
      <c r="AJ44" s="946"/>
      <c r="AK44" s="113"/>
      <c r="AL44" s="955" t="s">
        <v>14</v>
      </c>
      <c r="AM44" s="955"/>
      <c r="AN44" s="955"/>
      <c r="AO44" s="955"/>
      <c r="AP44" s="955"/>
      <c r="AS44" s="936" t="str">
        <f>IFERROR(IF(AS63="○","！R5年度に満たしていた要件を満たさない計画になっている。",IF(OR(AH63=2,AP63=2),VLOOKUP(AS1,【参考】数式用2!E6:S23,15,FALSE),"")),"")</f>
        <v/>
      </c>
      <c r="AT44" s="937"/>
      <c r="AU44" s="937"/>
      <c r="AV44" s="937"/>
      <c r="AW44" s="937"/>
      <c r="AX44" s="937"/>
      <c r="AY44" s="937"/>
      <c r="AZ44" s="937"/>
      <c r="BA44" s="937"/>
      <c r="BB44" s="937"/>
      <c r="BC44" s="937"/>
      <c r="BD44" s="937"/>
      <c r="BE44" s="937"/>
      <c r="BF44" s="937"/>
      <c r="BG44" s="937"/>
      <c r="BH44" s="938"/>
    </row>
    <row r="45" spans="2:82" ht="17.100000000000001" customHeight="1" thickBot="1">
      <c r="B45" s="1047"/>
      <c r="C45" s="1047"/>
      <c r="D45" s="1047"/>
      <c r="E45" s="1047"/>
      <c r="F45" s="1047"/>
      <c r="G45" s="1004"/>
      <c r="H45" s="1005"/>
      <c r="I45" s="1005"/>
      <c r="J45" s="1005"/>
      <c r="K45" s="1005"/>
      <c r="L45" s="1005"/>
      <c r="M45" s="1005"/>
      <c r="N45" s="1005"/>
      <c r="O45" s="1005"/>
      <c r="P45" s="1005"/>
      <c r="Q45" s="1005"/>
      <c r="R45" s="1005"/>
      <c r="S45" s="1005"/>
      <c r="T45" s="1006"/>
      <c r="U45" s="112"/>
      <c r="V45" s="513" t="str">
        <f>IFERROR(IF(G9="特定加算なし","✓",""),"")</f>
        <v/>
      </c>
      <c r="W45" s="977" t="s">
        <v>15</v>
      </c>
      <c r="X45" s="978"/>
      <c r="Y45" s="978"/>
      <c r="Z45" s="979"/>
      <c r="AA45" s="945"/>
      <c r="AB45" s="946"/>
      <c r="AC45" s="113"/>
      <c r="AD45" s="955" t="s">
        <v>15</v>
      </c>
      <c r="AE45" s="955"/>
      <c r="AF45" s="955"/>
      <c r="AG45" s="955"/>
      <c r="AH45" s="955"/>
      <c r="AI45" s="945"/>
      <c r="AJ45" s="946"/>
      <c r="AK45" s="113"/>
      <c r="AL45" s="955" t="s">
        <v>15</v>
      </c>
      <c r="AM45" s="955"/>
      <c r="AN45" s="955"/>
      <c r="AO45" s="955"/>
      <c r="AP45" s="955"/>
      <c r="AS45" s="942"/>
      <c r="AT45" s="943"/>
      <c r="AU45" s="943"/>
      <c r="AV45" s="943"/>
      <c r="AW45" s="943"/>
      <c r="AX45" s="943"/>
      <c r="AY45" s="943"/>
      <c r="AZ45" s="943"/>
      <c r="BA45" s="943"/>
      <c r="BB45" s="943"/>
      <c r="BC45" s="943"/>
      <c r="BD45" s="943"/>
      <c r="BE45" s="943"/>
      <c r="BF45" s="943"/>
      <c r="BG45" s="943"/>
      <c r="BH45" s="944"/>
      <c r="BO45" s="131"/>
    </row>
    <row r="46" spans="2:82" ht="6.75" customHeight="1">
      <c r="B46" s="117"/>
      <c r="AJ46" s="132"/>
      <c r="AK46" s="132"/>
      <c r="AL46" s="132"/>
      <c r="AM46" s="132"/>
      <c r="AN46" s="132"/>
      <c r="AO46" s="132"/>
      <c r="AP46" s="132"/>
    </row>
    <row r="47" spans="2:82" ht="21" customHeight="1">
      <c r="B47" s="1092" t="s">
        <v>2137</v>
      </c>
      <c r="C47" s="1092"/>
      <c r="D47" s="1092"/>
      <c r="E47" s="1092"/>
      <c r="F47" s="1092"/>
      <c r="G47" s="1092"/>
      <c r="H47" s="1092"/>
      <c r="I47" s="1092"/>
      <c r="J47" s="1092"/>
      <c r="K47" s="1092"/>
      <c r="L47" s="1092"/>
      <c r="M47" s="1092"/>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S47" s="133" t="s">
        <v>2106</v>
      </c>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row>
    <row r="48" spans="2:82" ht="12.95" customHeight="1" thickBot="1">
      <c r="B48" s="1044"/>
      <c r="C48" s="1045"/>
      <c r="D48" s="1045"/>
      <c r="E48" s="1045"/>
      <c r="F48" s="1046"/>
      <c r="G48" s="1033" t="str">
        <f>IF(F15=4,"R6.4～R6.5",IF(F15=5,"R6.5",""))</f>
        <v>R6.4～R6.5</v>
      </c>
      <c r="H48" s="1034"/>
      <c r="I48" s="1034"/>
      <c r="J48" s="1034"/>
      <c r="K48" s="1034"/>
      <c r="L48" s="1034"/>
      <c r="M48" s="1034"/>
      <c r="N48" s="1034"/>
      <c r="O48" s="1034"/>
      <c r="P48" s="1034"/>
      <c r="Q48" s="1034"/>
      <c r="R48" s="1034"/>
      <c r="S48" s="1034"/>
      <c r="T48" s="1034"/>
      <c r="U48" s="1034"/>
      <c r="V48" s="1034"/>
      <c r="W48" s="1034"/>
      <c r="X48" s="1034"/>
      <c r="Y48" s="1034"/>
      <c r="Z48" s="1035"/>
      <c r="AA48" s="945" t="s">
        <v>12</v>
      </c>
      <c r="AB48" s="946"/>
      <c r="AC48" s="1111" t="str">
        <f>IF(OR(F15=4,F15=5),"R6.6","R"&amp;D15&amp;"."&amp;F15)&amp;"～R"&amp;K15&amp;"."&amp;M15</f>
        <v>R6.6～R7.3</v>
      </c>
      <c r="AD48" s="1111"/>
      <c r="AE48" s="1111"/>
      <c r="AF48" s="1111"/>
      <c r="AG48" s="1111"/>
      <c r="AH48" s="1111"/>
      <c r="AS48" s="964" t="str">
        <f>IFERROR(IF(AND(OR(AP58=1,AP58=2),OR(AP59=1,AP59=2),OR(AP60=1,AP60=2)),"処遇加算Ⅰ",IF(AND(OR(AP58=1,AP58=2),OR(AP59=1,AP59=2),OR(AP60=0,AP60=3)),"処遇加算Ⅱ",IF(OR(OR(AP58=1,AP58=2),OR(AP59=1,AP59=2)),"処遇加算Ⅲ",""))),"")</f>
        <v/>
      </c>
      <c r="AT48" s="964"/>
      <c r="AU48" s="964"/>
      <c r="AV48" s="964"/>
      <c r="AW48" s="965" t="str">
        <f>IFERROR(IF(AND(AP61=1,AP62=1,AP63=1),"特定加算Ⅰ",IF(AND(AP61=1,AP62=2,AP63=1),"特定加算Ⅱ",IF(OR(AP61=2,AP62=2,AP63=2),"特定加算なし",""))),"")</f>
        <v>特定加算なし</v>
      </c>
      <c r="AX48" s="965"/>
      <c r="AY48" s="965"/>
      <c r="AZ48" s="965"/>
      <c r="BA48" s="964" t="str">
        <f>IFERROR(IF(OR(L9="ベア加算",AP57=1),"ベア加算",IF(AP57=2,"ベア加算なし","")),"")</f>
        <v/>
      </c>
      <c r="BB48" s="964"/>
      <c r="BC48" s="964"/>
      <c r="BD48" s="964"/>
      <c r="BE48" s="966" t="str">
        <f>AS48&amp;AW48&amp;BA48</f>
        <v>特定加算なし</v>
      </c>
      <c r="BF48" s="966"/>
      <c r="BG48" s="966"/>
      <c r="BH48" s="966"/>
      <c r="BI48" s="966"/>
      <c r="BJ48" s="966"/>
      <c r="BK48" s="966"/>
      <c r="BL48" s="966"/>
      <c r="BM48" s="966"/>
      <c r="BN48" s="966"/>
      <c r="BO48" s="966"/>
      <c r="BP48" s="966"/>
      <c r="BQ48" s="134"/>
      <c r="BR48" s="134"/>
      <c r="BS48" s="134"/>
      <c r="BT48" s="134"/>
      <c r="BU48" s="134"/>
      <c r="BV48" s="134"/>
      <c r="BW48" s="134"/>
      <c r="BX48" s="134"/>
      <c r="BY48" s="134"/>
      <c r="BZ48" s="134"/>
      <c r="CD48" s="135"/>
    </row>
    <row r="49" spans="2:86" ht="18" customHeight="1">
      <c r="B49" s="1036" t="s">
        <v>2016</v>
      </c>
      <c r="C49" s="1037"/>
      <c r="D49" s="1037"/>
      <c r="E49" s="1037"/>
      <c r="F49" s="1038"/>
      <c r="G49" s="1112" t="str">
        <f>IFERROR(IF(AND(OR(AH58=1,AH58=2),OR(AH59=1,AH59=2),OR(AH60=1,AH60=2)),"処遇加算Ⅰ",IF(AND(OR(AH58=1,AH58=2),OR(AH59=1,AH59=2),OR(AH60=0,AH60=3)),"処遇加算Ⅱ",IF(OR(OR(AH58=1,AH58=2),OR(AH59=1,AH59=2)),"処遇加算Ⅲ",""))),"")</f>
        <v/>
      </c>
      <c r="H49" s="1088"/>
      <c r="I49" s="1088"/>
      <c r="J49" s="1088"/>
      <c r="K49" s="1113"/>
      <c r="L49" s="1118" t="str">
        <f>IFERROR(IF(G9="","",IF(AND(AH61=1,AH62=1,AH63=1),"特定加算Ⅰ",IF(AND(AH61=1,AH62=2,AH63=1),"特定加算Ⅱ",IF(OR(AH61=2,AH62=2,AH63=2),"特定加算なし","")))),"")</f>
        <v/>
      </c>
      <c r="M49" s="1119"/>
      <c r="N49" s="1119"/>
      <c r="O49" s="1119"/>
      <c r="P49" s="1120"/>
      <c r="Q49" s="1087" t="str">
        <f>IFERROR(IF(OR(L9="ベア加算",AND(L9="ベア加算なし",AH57=1)),"ベア加算",IF(AH57=2,"ベア加算なし","")),"")</f>
        <v/>
      </c>
      <c r="R49" s="1088"/>
      <c r="S49" s="1088"/>
      <c r="T49" s="1088"/>
      <c r="U49" s="1089"/>
      <c r="V49" s="1090" t="s">
        <v>10</v>
      </c>
      <c r="W49" s="1091"/>
      <c r="X49" s="1091"/>
      <c r="Y49" s="1091"/>
      <c r="Z49" s="1091"/>
      <c r="AA49" s="956"/>
      <c r="AB49" s="956"/>
      <c r="AC49" s="1097" t="str">
        <f>IFERROR(VLOOKUP(BE48,【参考】数式用2!E6:F23,2,FALSE),"")</f>
        <v/>
      </c>
      <c r="AD49" s="1098"/>
      <c r="AE49" s="1098"/>
      <c r="AF49" s="1098"/>
      <c r="AG49" s="1098"/>
      <c r="AH49" s="1099"/>
      <c r="AS49" s="133" t="s">
        <v>2046</v>
      </c>
      <c r="AT49" s="134"/>
      <c r="AU49" s="134"/>
      <c r="AV49" s="134"/>
      <c r="AW49" s="134"/>
      <c r="AX49" s="134"/>
      <c r="AY49" s="134"/>
      <c r="AZ49" s="134"/>
      <c r="BA49" s="134"/>
      <c r="BB49" s="134"/>
      <c r="BC49" s="134"/>
      <c r="BD49" s="134"/>
      <c r="BE49" s="134"/>
      <c r="BF49" s="134"/>
      <c r="BG49" s="134"/>
      <c r="BH49" s="134"/>
      <c r="BI49" s="134"/>
      <c r="BJ49" s="134"/>
      <c r="BK49" s="134"/>
      <c r="BL49" s="134"/>
      <c r="BM49" s="134"/>
      <c r="BN49" s="136" t="s">
        <v>2050</v>
      </c>
      <c r="BO49" s="134"/>
      <c r="BP49" s="134"/>
      <c r="BQ49" s="134"/>
      <c r="BR49" s="134"/>
      <c r="BS49" s="134"/>
      <c r="BT49" s="134"/>
      <c r="BV49" s="133" t="s">
        <v>2053</v>
      </c>
      <c r="BW49" s="134"/>
      <c r="BX49" s="134"/>
      <c r="BY49" s="134"/>
      <c r="BZ49" s="134"/>
      <c r="CA49" s="134"/>
      <c r="CD49" s="135"/>
    </row>
    <row r="50" spans="2:86" ht="18" customHeight="1" thickBot="1">
      <c r="B50" s="1036" t="s">
        <v>2017</v>
      </c>
      <c r="C50" s="1037"/>
      <c r="D50" s="1037"/>
      <c r="E50" s="1037"/>
      <c r="F50" s="1038"/>
      <c r="G50" s="1100" t="str">
        <f>IFERROR(VLOOKUP(Y5,【参考】数式用!$A$5:$J$37,MATCH(G49,【参考】数式用!$B$4:$J$4,0)+1,0),"")</f>
        <v/>
      </c>
      <c r="H50" s="1101"/>
      <c r="I50" s="1101"/>
      <c r="J50" s="1101"/>
      <c r="K50" s="1102"/>
      <c r="L50" s="1103" t="str">
        <f>IFERROR(VLOOKUP(Y5,【参考】数式用!$A$5:$J$37,MATCH(L49,【参考】数式用!$B$4:$J$4,0)+1,0),"")</f>
        <v/>
      </c>
      <c r="M50" s="1104"/>
      <c r="N50" s="1104"/>
      <c r="O50" s="1104"/>
      <c r="P50" s="1105"/>
      <c r="Q50" s="1106" t="str">
        <f>IFERROR(VLOOKUP(Y5,【参考】数式用!$A$5:$J$37,MATCH(Q49,【参考】数式用!$B$4:$J$4,0)+1,0),"")</f>
        <v/>
      </c>
      <c r="R50" s="1101"/>
      <c r="S50" s="1101"/>
      <c r="T50" s="1101"/>
      <c r="U50" s="1107"/>
      <c r="V50" s="1069">
        <f>SUM(G50,L50,Q50)</f>
        <v>0</v>
      </c>
      <c r="W50" s="1070"/>
      <c r="X50" s="1070"/>
      <c r="Y50" s="1070"/>
      <c r="Z50" s="1070"/>
      <c r="AA50" s="956"/>
      <c r="AB50" s="956"/>
      <c r="AC50" s="1108" t="str">
        <f>IFERROR(VLOOKUP(Y5,【参考】数式用!$A$5:$AB$37,MATCH(AC49,【参考】数式用!$B$4:$AB$4,0)+1,FALSE),"")</f>
        <v/>
      </c>
      <c r="AD50" s="1109"/>
      <c r="AE50" s="1109"/>
      <c r="AF50" s="1109"/>
      <c r="AG50" s="1109"/>
      <c r="AH50" s="1110"/>
      <c r="AS50" s="962" t="s">
        <v>2047</v>
      </c>
      <c r="AT50" s="962"/>
      <c r="AU50" s="962"/>
      <c r="AV50" s="962"/>
      <c r="AW50" s="962" t="s">
        <v>2048</v>
      </c>
      <c r="AX50" s="962"/>
      <c r="AY50" s="962"/>
      <c r="AZ50" s="962"/>
      <c r="BA50" s="962" t="s">
        <v>13</v>
      </c>
      <c r="BB50" s="962"/>
      <c r="BC50" s="962"/>
      <c r="BD50" s="962"/>
      <c r="BE50" s="962" t="s">
        <v>2049</v>
      </c>
      <c r="BF50" s="962"/>
      <c r="BG50" s="962"/>
      <c r="BH50" s="962"/>
      <c r="BI50" s="962" t="s">
        <v>2052</v>
      </c>
      <c r="BJ50" s="962"/>
      <c r="BK50" s="962"/>
      <c r="BL50" s="962"/>
      <c r="BM50" s="134"/>
      <c r="BN50" s="962" t="s">
        <v>2051</v>
      </c>
      <c r="BO50" s="962"/>
      <c r="BP50" s="962"/>
      <c r="BQ50" s="962"/>
      <c r="BR50" s="962"/>
      <c r="BS50" s="962"/>
      <c r="BT50" s="134"/>
      <c r="BV50" s="1121" t="s">
        <v>2054</v>
      </c>
      <c r="BW50" s="1122"/>
      <c r="BX50" s="1122"/>
      <c r="BY50" s="1122"/>
      <c r="BZ50" s="1122"/>
      <c r="CA50" s="1123"/>
      <c r="CD50" s="135"/>
    </row>
    <row r="51" spans="2:86" ht="17.25" customHeight="1">
      <c r="B51" s="1094" t="s">
        <v>2121</v>
      </c>
      <c r="C51" s="1095"/>
      <c r="D51" s="1095"/>
      <c r="E51" s="1095"/>
      <c r="F51" s="1096"/>
      <c r="G51" s="1016" t="str">
        <f>IFERROR(ROUNDDOWN(ROUND(AM5*G50,0),0)*H53,"")</f>
        <v/>
      </c>
      <c r="H51" s="1016"/>
      <c r="I51" s="1016"/>
      <c r="J51" s="1016"/>
      <c r="K51" s="55" t="s">
        <v>2117</v>
      </c>
      <c r="L51" s="1013" t="str">
        <f>IFERROR(ROUNDDOWN(ROUND(AM5*L50,0),0)*H53,"")</f>
        <v/>
      </c>
      <c r="M51" s="1014"/>
      <c r="N51" s="1014"/>
      <c r="O51" s="1014"/>
      <c r="P51" s="55" t="s">
        <v>2117</v>
      </c>
      <c r="Q51" s="1015" t="str">
        <f>IFERROR(ROUNDDOWN(ROUND(AM5*Q50,0),0)*H53,"")</f>
        <v/>
      </c>
      <c r="R51" s="1016"/>
      <c r="S51" s="1016"/>
      <c r="T51" s="1016"/>
      <c r="U51" s="56" t="s">
        <v>2117</v>
      </c>
      <c r="V51" s="1116">
        <f>IFERROR(SUM(G51,L51,Q51),"")</f>
        <v>0</v>
      </c>
      <c r="W51" s="1117"/>
      <c r="X51" s="1117"/>
      <c r="Y51" s="1117"/>
      <c r="Z51" s="57" t="s">
        <v>2117</v>
      </c>
      <c r="AB51" s="58"/>
      <c r="AC51" s="1015" t="str">
        <f>IFERROR(ROUNDDOWN(ROUND(AM5*AC50,0),0)*AD53,"")</f>
        <v/>
      </c>
      <c r="AD51" s="1016"/>
      <c r="AE51" s="1016"/>
      <c r="AF51" s="1016"/>
      <c r="AG51" s="1016"/>
      <c r="AH51" s="56" t="s">
        <v>2117</v>
      </c>
      <c r="AS51" s="967" t="str">
        <f>IFERROR(ROUNDDOWN(ROUND(AM5*(G50-B10),0),0)*H53,"")</f>
        <v/>
      </c>
      <c r="AT51" s="967"/>
      <c r="AU51" s="967"/>
      <c r="AV51" s="967"/>
      <c r="AW51" s="967" t="str">
        <f>IFERROR(ROUNDDOWN(ROUND(AM5*(L50-G10),0),0)*H53,"")</f>
        <v/>
      </c>
      <c r="AX51" s="967"/>
      <c r="AY51" s="967"/>
      <c r="AZ51" s="967"/>
      <c r="BA51" s="967" t="str">
        <f>IFERROR(ROUNDDOWN(ROUND(AM5*(Q50-L10),0),0)*H53,"")</f>
        <v/>
      </c>
      <c r="BB51" s="967"/>
      <c r="BC51" s="967"/>
      <c r="BD51" s="967"/>
      <c r="BE51" s="967" t="str">
        <f>IFERROR(ROUNDDOWN(ROUND(AM5*(AC50-Q10),0),0)*AD53,"")</f>
        <v/>
      </c>
      <c r="BF51" s="967"/>
      <c r="BG51" s="967"/>
      <c r="BH51" s="967"/>
      <c r="BI51" s="967">
        <f>SUM(AS51:BH51)</f>
        <v>0</v>
      </c>
      <c r="BJ51" s="967"/>
      <c r="BK51" s="967"/>
      <c r="BL51" s="967"/>
      <c r="BM51" s="134"/>
      <c r="BN51" s="967" t="str">
        <f>IFERROR(ROUNDDOWN(ROUNDDOWN(ROUND(AM5*(VLOOKUP(Y5,【参考】数式用!$A$5:$AB$37,14,FALSE)),0),0)*AD53*0.5,0),"")</f>
        <v/>
      </c>
      <c r="BO51" s="967"/>
      <c r="BP51" s="967"/>
      <c r="BQ51" s="967"/>
      <c r="BR51" s="967"/>
      <c r="BS51" s="967"/>
      <c r="BT51" s="134"/>
      <c r="BV51" s="1124">
        <f>IF(AND(Q49="ベア加算なし",BA48="ベア加算"),ROUNDDOWN(ROUND(AM5*VLOOKUP(Y5,【参考】数式用!$A$5:$AB$37,9,FALSE),0),0)*AD53,0)</f>
        <v>0</v>
      </c>
      <c r="BW51" s="1125"/>
      <c r="BX51" s="1125"/>
      <c r="BY51" s="1125"/>
      <c r="BZ51" s="1125"/>
      <c r="CA51" s="1126"/>
      <c r="CD51" s="135"/>
    </row>
    <row r="52" spans="2:86" ht="13.5" customHeight="1">
      <c r="B52" s="1094"/>
      <c r="C52" s="1095"/>
      <c r="D52" s="1095"/>
      <c r="E52" s="1095"/>
      <c r="F52" s="1096"/>
      <c r="G52" s="1011" t="str">
        <f>IFERROR("("&amp;TEXT(G51/H53,"#,##0円")&amp;"/月)","")</f>
        <v/>
      </c>
      <c r="H52" s="1012"/>
      <c r="I52" s="1012"/>
      <c r="J52" s="1012"/>
      <c r="K52" s="1012"/>
      <c r="L52" s="1114" t="str">
        <f>IFERROR("("&amp;TEXT(L51/H53,"#,##0円")&amp;"/月)","")</f>
        <v/>
      </c>
      <c r="M52" s="1115"/>
      <c r="N52" s="1115"/>
      <c r="O52" s="1115"/>
      <c r="P52" s="1011"/>
      <c r="Q52" s="1012" t="str">
        <f>IFERROR("("&amp;TEXT(Q51/H53,"#,##0円")&amp;"/月)","")</f>
        <v/>
      </c>
      <c r="R52" s="1012"/>
      <c r="S52" s="1012"/>
      <c r="T52" s="1012"/>
      <c r="U52" s="1012"/>
      <c r="V52" s="1012" t="str">
        <f>IFERROR("("&amp;TEXT(V51/H53,"#,##0円")&amp;"/月)","")</f>
        <v>(0円/月)</v>
      </c>
      <c r="W52" s="1012"/>
      <c r="X52" s="1012"/>
      <c r="Y52" s="1012"/>
      <c r="Z52" s="1012"/>
      <c r="AB52" s="58"/>
      <c r="AC52" s="1114" t="str">
        <f>IFERROR("("&amp;TEXT(AC51/AD53,"#,##0円")&amp;"/月)","")</f>
        <v/>
      </c>
      <c r="AD52" s="1115"/>
      <c r="AE52" s="1115"/>
      <c r="AF52" s="1115"/>
      <c r="AG52" s="1115"/>
      <c r="AH52" s="1011"/>
      <c r="AS52" s="137"/>
      <c r="AT52" s="137"/>
      <c r="AU52" s="137"/>
      <c r="AV52" s="137"/>
      <c r="AW52" s="137"/>
      <c r="AX52" s="137"/>
      <c r="AY52" s="137"/>
      <c r="AZ52" s="137"/>
      <c r="BA52" s="137"/>
      <c r="BB52" s="137"/>
      <c r="BC52" s="137"/>
      <c r="BD52" s="137"/>
      <c r="BE52" s="137"/>
      <c r="BF52" s="137"/>
      <c r="BG52" s="137"/>
      <c r="BH52" s="137"/>
      <c r="BI52" s="137"/>
      <c r="BJ52" s="137"/>
      <c r="BK52" s="137"/>
      <c r="BL52" s="137"/>
      <c r="BM52" s="134"/>
      <c r="BN52" s="137"/>
      <c r="BO52" s="137"/>
      <c r="BP52" s="137"/>
      <c r="BQ52" s="137"/>
      <c r="BR52" s="137"/>
      <c r="BS52" s="137"/>
      <c r="BT52" s="134"/>
      <c r="BU52" s="137"/>
      <c r="BV52" s="137"/>
      <c r="BW52" s="137"/>
      <c r="BX52" s="137"/>
      <c r="BY52" s="137"/>
      <c r="BZ52" s="137"/>
      <c r="CD52" s="135"/>
    </row>
    <row r="53" spans="2:86" s="138" customFormat="1" ht="11.25" customHeight="1">
      <c r="G53" s="139" t="s">
        <v>178</v>
      </c>
      <c r="H53" s="140">
        <f>IF(F15=4,2,IF(F15=5,1,""))</f>
        <v>2</v>
      </c>
      <c r="I53" s="140" t="s">
        <v>2118</v>
      </c>
      <c r="J53" s="140"/>
      <c r="K53" s="140"/>
      <c r="L53" s="140"/>
      <c r="M53" s="140"/>
      <c r="N53" s="140"/>
      <c r="O53" s="140"/>
      <c r="P53" s="140"/>
      <c r="Q53" s="140"/>
      <c r="R53" s="140"/>
      <c r="S53" s="140"/>
      <c r="T53" s="140"/>
      <c r="U53" s="140"/>
      <c r="V53" s="140"/>
      <c r="W53" s="140"/>
      <c r="X53" s="140"/>
      <c r="Y53" s="140"/>
      <c r="Z53" s="140"/>
      <c r="AA53" s="140"/>
      <c r="AB53" s="140"/>
      <c r="AC53" s="139" t="s">
        <v>178</v>
      </c>
      <c r="AD53" s="140">
        <f>IF(F15=4,P15-2,IF(F15=5,P15-1,P15))</f>
        <v>10</v>
      </c>
      <c r="AE53" s="140" t="s">
        <v>2118</v>
      </c>
      <c r="AF53" s="140"/>
      <c r="AG53" s="140"/>
      <c r="AH53" s="140"/>
    </row>
    <row r="54" spans="2:86" ht="6" customHeight="1">
      <c r="BX54" s="141"/>
    </row>
    <row r="55" spans="2:86" ht="18" customHeight="1"/>
    <row r="56" spans="2:86" ht="23.25" customHeight="1">
      <c r="U56" s="966" t="s">
        <v>2376</v>
      </c>
      <c r="V56" s="966"/>
      <c r="W56" s="966"/>
      <c r="X56" s="966"/>
      <c r="Y56" s="966"/>
      <c r="Z56" s="966"/>
      <c r="AA56" s="138"/>
      <c r="AB56" s="142"/>
      <c r="AC56" s="966" t="str">
        <f>IF(F15=4,"R6.4～R6.5",IF(F15=5,"R6.5",""))</f>
        <v>R6.4～R6.5</v>
      </c>
      <c r="AD56" s="966"/>
      <c r="AE56" s="966"/>
      <c r="AF56" s="966"/>
      <c r="AG56" s="966"/>
      <c r="AH56" s="966"/>
      <c r="AI56" s="143"/>
      <c r="AJ56" s="142"/>
      <c r="AK56" s="966" t="str">
        <f>IF(OR(F15=4,F15=5),"R6.6","R"&amp;D15&amp;"."&amp;F15)&amp;"～R"&amp;K15&amp;"."&amp;M15</f>
        <v>R6.6～R7.3</v>
      </c>
      <c r="AL56" s="966"/>
      <c r="AM56" s="966"/>
      <c r="AN56" s="966"/>
      <c r="AO56" s="966"/>
      <c r="AP56" s="966"/>
      <c r="AQ56" s="138"/>
      <c r="AR56" s="138"/>
      <c r="AS56" s="975" t="s">
        <v>2203</v>
      </c>
      <c r="AT56" s="975"/>
      <c r="AU56" s="975"/>
      <c r="AV56" s="975"/>
      <c r="AW56" s="975" t="s">
        <v>2202</v>
      </c>
      <c r="AX56" s="975"/>
      <c r="AY56" s="975"/>
      <c r="AZ56" s="975"/>
    </row>
    <row r="57" spans="2:86" ht="15.95" customHeight="1">
      <c r="U57" s="962" t="s">
        <v>2377</v>
      </c>
      <c r="V57" s="962"/>
      <c r="W57" s="962"/>
      <c r="X57" s="962"/>
      <c r="Y57" s="962"/>
      <c r="Z57" s="509" t="str">
        <f>IF(AND(B9&lt;&gt;"処遇加算なし",F15=4),IF(V21="✓",1,IF(V22="✓",2,"")),"")</f>
        <v/>
      </c>
      <c r="AA57" s="138"/>
      <c r="AB57" s="142"/>
      <c r="AC57" s="962" t="s">
        <v>2377</v>
      </c>
      <c r="AD57" s="962"/>
      <c r="AE57" s="962"/>
      <c r="AF57" s="962"/>
      <c r="AG57" s="962"/>
      <c r="AH57" s="404">
        <f>IF(AND(F15&lt;&gt;4,F15&lt;&gt;5),0,IF(AT8="○",1,0))</f>
        <v>0</v>
      </c>
      <c r="AI57" s="145"/>
      <c r="AJ57" s="142"/>
      <c r="AK57" s="962" t="s">
        <v>2377</v>
      </c>
      <c r="AL57" s="962"/>
      <c r="AM57" s="962"/>
      <c r="AN57" s="962"/>
      <c r="AO57" s="962"/>
      <c r="AP57" s="404">
        <f>IF(AT8="○",1,0)</f>
        <v>0</v>
      </c>
      <c r="AQ57" s="138"/>
      <c r="AR57" s="138"/>
      <c r="AS57" s="961"/>
      <c r="AT57" s="961"/>
      <c r="AU57" s="961"/>
      <c r="AV57" s="961"/>
      <c r="AW57" s="968"/>
      <c r="AX57" s="968"/>
      <c r="AY57" s="968"/>
      <c r="AZ57" s="968"/>
      <c r="BP57" s="144"/>
      <c r="BR57" s="144"/>
      <c r="BS57" s="144"/>
      <c r="BT57" s="144"/>
      <c r="BU57" s="144"/>
      <c r="BV57" s="144"/>
      <c r="BW57" s="144"/>
      <c r="BX57" s="144"/>
      <c r="BY57" s="144"/>
      <c r="BZ57" s="144"/>
      <c r="CA57" s="144"/>
      <c r="CB57" s="144"/>
      <c r="CC57" s="144"/>
      <c r="CD57" s="144"/>
      <c r="CE57" s="144"/>
      <c r="CF57" s="144"/>
      <c r="CH57" s="146"/>
    </row>
    <row r="58" spans="2:86" ht="15.95" customHeight="1">
      <c r="U58" s="970" t="s">
        <v>2378</v>
      </c>
      <c r="V58" s="970"/>
      <c r="W58" s="970"/>
      <c r="X58" s="970"/>
      <c r="Y58" s="970"/>
      <c r="Z58" s="509" t="str">
        <f>IF(AND(B9&lt;&gt;"処遇加算なし",F15=4),IF(V24="✓",1,IF(V25="✓",2,IF(V26="✓",3,""))),"")</f>
        <v/>
      </c>
      <c r="AA58" s="138"/>
      <c r="AB58" s="142"/>
      <c r="AC58" s="970" t="s">
        <v>2378</v>
      </c>
      <c r="AD58" s="970"/>
      <c r="AE58" s="970"/>
      <c r="AF58" s="970"/>
      <c r="AG58" s="970"/>
      <c r="AH58" s="404">
        <f>IF(AND(F15&lt;&gt;4,F15&lt;&gt;5),0,IF(AU8="○",1,3))</f>
        <v>3</v>
      </c>
      <c r="AI58" s="145"/>
      <c r="AJ58" s="142"/>
      <c r="AK58" s="970" t="s">
        <v>2378</v>
      </c>
      <c r="AL58" s="970"/>
      <c r="AM58" s="970"/>
      <c r="AN58" s="970"/>
      <c r="AO58" s="970"/>
      <c r="AP58" s="404">
        <f>IF(AU8="○",1,3)</f>
        <v>3</v>
      </c>
      <c r="AQ58" s="138"/>
      <c r="AR58" s="138"/>
      <c r="AS58" s="962" t="str">
        <f>IF(OR(AND(Z58=1,AH58=3),AND(Z58=1,AP58=3),AND(Z58=2,AH58=3,AH59=3),AND(Z58=2,AP58=3,AP59=3)),"○","")</f>
        <v/>
      </c>
      <c r="AT58" s="962"/>
      <c r="AU58" s="962"/>
      <c r="AV58" s="962"/>
      <c r="AW58" s="962" t="str">
        <f>IF(OR(AND(Z58=1,AH58=2),AND(Z58=1,AP58=2),AND(Z58=2,AH58=2,AH59=2),AND(Z58=2,AP58=2,AP59=2)),"○","")</f>
        <v/>
      </c>
      <c r="AX58" s="962"/>
      <c r="AY58" s="962"/>
      <c r="AZ58" s="962"/>
      <c r="BP58" s="144"/>
      <c r="BR58" s="144"/>
      <c r="BS58" s="144"/>
      <c r="BT58" s="144"/>
      <c r="BU58" s="144"/>
      <c r="BV58" s="144"/>
      <c r="BW58" s="144"/>
      <c r="BX58" s="144"/>
      <c r="BY58" s="144"/>
      <c r="BZ58" s="144"/>
      <c r="CA58" s="144"/>
      <c r="CB58" s="144"/>
      <c r="CC58" s="144"/>
      <c r="CD58" s="144"/>
      <c r="CE58" s="144"/>
      <c r="CF58" s="144"/>
      <c r="CH58" s="146"/>
    </row>
    <row r="59" spans="2:86" ht="15.95" customHeight="1">
      <c r="U59" s="970" t="s">
        <v>2379</v>
      </c>
      <c r="V59" s="970"/>
      <c r="W59" s="970"/>
      <c r="X59" s="970"/>
      <c r="Y59" s="970"/>
      <c r="Z59" s="509" t="str">
        <f>IF(AND(B9&lt;&gt;"処遇加算なし",F15=4),IF(V28="✓",1,IF(V29="✓",2,IF(V30="✓",3,""))),"")</f>
        <v/>
      </c>
      <c r="AA59" s="138"/>
      <c r="AB59" s="142"/>
      <c r="AC59" s="970" t="s">
        <v>2379</v>
      </c>
      <c r="AD59" s="970"/>
      <c r="AE59" s="970"/>
      <c r="AF59" s="970"/>
      <c r="AG59" s="970"/>
      <c r="AH59" s="404">
        <f>IF(AND(F15&lt;&gt;4,F15&lt;&gt;5),0,IF(AV8="○",1,3))</f>
        <v>3</v>
      </c>
      <c r="AI59" s="145"/>
      <c r="AJ59" s="142"/>
      <c r="AK59" s="970" t="s">
        <v>2379</v>
      </c>
      <c r="AL59" s="970"/>
      <c r="AM59" s="970"/>
      <c r="AN59" s="970"/>
      <c r="AO59" s="970"/>
      <c r="AP59" s="404">
        <f>IF(AV8="○",1,3)</f>
        <v>3</v>
      </c>
      <c r="AQ59" s="138"/>
      <c r="AR59" s="138"/>
      <c r="AS59" s="962" t="str">
        <f>IF(OR(AND(Z59=1,AH59=3),AND(Z59=1,AP59=3),AND(Z59=2,AH58=3,AH59=3),AND(Z59=2,AP58=3,AP59=3)),"○","")</f>
        <v/>
      </c>
      <c r="AT59" s="962"/>
      <c r="AU59" s="962"/>
      <c r="AV59" s="962"/>
      <c r="AW59" s="962" t="str">
        <f>IF(OR(AND(Z59=1,AH58=2),AND(Z59=1,AP58=2),AND(Z59=2,AH58=2,AH59=2),AND(Z59=2,AP58=2,AP59=2)),"○","")</f>
        <v/>
      </c>
      <c r="AX59" s="962"/>
      <c r="AY59" s="962"/>
      <c r="AZ59" s="962"/>
      <c r="BP59" s="144"/>
      <c r="BR59" s="144"/>
      <c r="BS59" s="144"/>
      <c r="BT59" s="144"/>
      <c r="BU59" s="144"/>
      <c r="BV59" s="144"/>
      <c r="BW59" s="144"/>
      <c r="BX59" s="144"/>
      <c r="BY59" s="144"/>
      <c r="BZ59" s="144"/>
      <c r="CA59" s="144"/>
      <c r="CB59" s="144"/>
      <c r="CC59" s="144"/>
      <c r="CD59" s="144"/>
      <c r="CE59" s="144"/>
      <c r="CF59" s="144"/>
      <c r="CH59" s="146"/>
    </row>
    <row r="60" spans="2:86" ht="15.95" customHeight="1">
      <c r="U60" s="970" t="s">
        <v>2380</v>
      </c>
      <c r="V60" s="970"/>
      <c r="W60" s="970"/>
      <c r="X60" s="970"/>
      <c r="Y60" s="970"/>
      <c r="Z60" s="509" t="str">
        <f>IF(AND(B9&lt;&gt;"処遇加算なし",F15=4),IF(V32="✓",1,IF(V33="✓",2,"")),"")</f>
        <v/>
      </c>
      <c r="AA60" s="138"/>
      <c r="AB60" s="142"/>
      <c r="AC60" s="970" t="s">
        <v>2380</v>
      </c>
      <c r="AD60" s="970"/>
      <c r="AE60" s="970"/>
      <c r="AF60" s="970"/>
      <c r="AG60" s="970"/>
      <c r="AH60" s="404">
        <f>IF(AND(F15&lt;&gt;4,F15&lt;&gt;5),0,IF(AW8="○",1,3))</f>
        <v>3</v>
      </c>
      <c r="AI60" s="145"/>
      <c r="AJ60" s="142"/>
      <c r="AK60" s="970" t="s">
        <v>2380</v>
      </c>
      <c r="AL60" s="970"/>
      <c r="AM60" s="970"/>
      <c r="AN60" s="970"/>
      <c r="AO60" s="970"/>
      <c r="AP60" s="404">
        <f>IF(AW8="○",1,3)</f>
        <v>3</v>
      </c>
      <c r="AQ60" s="138"/>
      <c r="AR60" s="138"/>
      <c r="AS60" s="963" t="str">
        <f>IF(OR(AND(Z60=1,AH60=3),AND(Z60=1,AP60=3)),"○","")</f>
        <v/>
      </c>
      <c r="AT60" s="963"/>
      <c r="AU60" s="963"/>
      <c r="AV60" s="963"/>
      <c r="AW60" s="963" t="str">
        <f>IF(OR(AND(Z60=1,AH60=2),AND(Z60=1,AP60=2)),"○","")</f>
        <v/>
      </c>
      <c r="AX60" s="963"/>
      <c r="AY60" s="963"/>
      <c r="AZ60" s="963"/>
      <c r="BP60" s="144"/>
      <c r="BR60" s="144"/>
      <c r="BS60" s="144"/>
      <c r="BT60" s="144"/>
      <c r="BU60" s="144"/>
      <c r="BV60" s="144"/>
      <c r="BW60" s="144"/>
      <c r="BX60" s="144"/>
      <c r="BY60" s="144"/>
      <c r="BZ60" s="144"/>
      <c r="CA60" s="144"/>
      <c r="CB60" s="144"/>
      <c r="CC60" s="144"/>
      <c r="CD60" s="144"/>
      <c r="CE60" s="144"/>
      <c r="CF60" s="144"/>
      <c r="CH60" s="146"/>
    </row>
    <row r="61" spans="2:86" ht="15.95" customHeight="1">
      <c r="U61" s="970" t="s">
        <v>2381</v>
      </c>
      <c r="V61" s="970"/>
      <c r="W61" s="970"/>
      <c r="X61" s="970"/>
      <c r="Y61" s="970"/>
      <c r="Z61" s="509" t="str">
        <f>IF(AND(B9&lt;&gt;"処遇加算なし",F15=4),IF(V36="✓",1,IF(V37="✓",2,"")),"")</f>
        <v/>
      </c>
      <c r="AA61" s="138"/>
      <c r="AB61" s="142"/>
      <c r="AC61" s="970" t="s">
        <v>2381</v>
      </c>
      <c r="AD61" s="970"/>
      <c r="AE61" s="970"/>
      <c r="AF61" s="970"/>
      <c r="AG61" s="970"/>
      <c r="AH61" s="404">
        <f>IF(AND(F15&lt;&gt;4,F15&lt;&gt;5),0,IF(AX8="○",1,2))</f>
        <v>2</v>
      </c>
      <c r="AI61" s="145"/>
      <c r="AJ61" s="142"/>
      <c r="AK61" s="970" t="s">
        <v>2381</v>
      </c>
      <c r="AL61" s="970"/>
      <c r="AM61" s="970"/>
      <c r="AN61" s="970"/>
      <c r="AO61" s="970"/>
      <c r="AP61" s="404">
        <f>IF(AX8="○",1,2)</f>
        <v>2</v>
      </c>
      <c r="AQ61" s="138"/>
      <c r="AR61" s="138"/>
      <c r="AS61" s="962" t="str">
        <f>IF(OR(AND(Z61=1,AH61=2),AND(Z61=1,AP61=2)),"○","")</f>
        <v/>
      </c>
      <c r="AT61" s="962"/>
      <c r="AU61" s="962"/>
      <c r="AV61" s="962"/>
      <c r="AW61" s="969" t="str">
        <f>IF(OR((AD61-AL61)&lt;0,(AD61-AT61)&lt;0),"!","")</f>
        <v/>
      </c>
      <c r="AX61" s="969"/>
      <c r="AY61" s="969"/>
      <c r="AZ61" s="969"/>
      <c r="BP61" s="144"/>
      <c r="BR61" s="144"/>
      <c r="BS61" s="144"/>
      <c r="BT61" s="144"/>
      <c r="BU61" s="144"/>
      <c r="BV61" s="144"/>
      <c r="BW61" s="144"/>
      <c r="BX61" s="144"/>
      <c r="BY61" s="144"/>
      <c r="BZ61" s="144"/>
      <c r="CA61" s="144"/>
      <c r="CB61" s="144"/>
      <c r="CC61" s="144"/>
      <c r="CD61" s="144"/>
      <c r="CE61" s="144"/>
      <c r="CF61" s="144"/>
      <c r="CH61" s="146"/>
    </row>
    <row r="62" spans="2:86" ht="15.95" customHeight="1">
      <c r="U62" s="970" t="s">
        <v>2382</v>
      </c>
      <c r="V62" s="970"/>
      <c r="W62" s="970"/>
      <c r="X62" s="970"/>
      <c r="Y62" s="970"/>
      <c r="Z62" s="509" t="str">
        <f>IF(AND(B9&lt;&gt;"処遇加算なし",F15=4),IF(V40="✓",1,IF(V41="✓",2,"")),"")</f>
        <v/>
      </c>
      <c r="AA62" s="138"/>
      <c r="AB62" s="142"/>
      <c r="AC62" s="970" t="s">
        <v>2382</v>
      </c>
      <c r="AD62" s="970"/>
      <c r="AE62" s="970"/>
      <c r="AF62" s="970"/>
      <c r="AG62" s="970"/>
      <c r="AH62" s="404">
        <f>IF(AND(F15&lt;&gt;4,F15&lt;&gt;5),0,IF(AY8="○",1,2))</f>
        <v>2</v>
      </c>
      <c r="AI62" s="145"/>
      <c r="AJ62" s="142"/>
      <c r="AK62" s="970" t="s">
        <v>2382</v>
      </c>
      <c r="AL62" s="970"/>
      <c r="AM62" s="970"/>
      <c r="AN62" s="970"/>
      <c r="AO62" s="970"/>
      <c r="AP62" s="404">
        <f>IF(AY8="○",1,2)</f>
        <v>2</v>
      </c>
      <c r="AQ62" s="138"/>
      <c r="AR62" s="138"/>
      <c r="AS62" s="962" t="str">
        <f>IF(OR(AND(Z62=1,AH62=2),AND(Z62=1,AP62=2)),"○","")</f>
        <v/>
      </c>
      <c r="AT62" s="962"/>
      <c r="AU62" s="962"/>
      <c r="AV62" s="962"/>
      <c r="AW62" s="969" t="str">
        <f>IF(OR((AD62-AL62)&lt;0,(AD62-AT62)&lt;0),"!","")</f>
        <v/>
      </c>
      <c r="AX62" s="969"/>
      <c r="AY62" s="969"/>
      <c r="AZ62" s="969"/>
      <c r="BP62" s="144"/>
      <c r="BR62" s="144"/>
      <c r="BS62" s="144"/>
      <c r="BT62" s="144"/>
      <c r="BU62" s="144"/>
      <c r="BV62" s="144"/>
      <c r="BW62" s="144"/>
      <c r="BX62" s="144"/>
      <c r="BY62" s="144"/>
      <c r="BZ62" s="144"/>
      <c r="CA62" s="144"/>
      <c r="CB62" s="144"/>
      <c r="CC62" s="144"/>
      <c r="CD62" s="144"/>
      <c r="CE62" s="144"/>
      <c r="CF62" s="144"/>
      <c r="CH62" s="146"/>
    </row>
    <row r="63" spans="2:86" ht="15.95" customHeight="1">
      <c r="U63" s="962" t="s">
        <v>2383</v>
      </c>
      <c r="V63" s="962"/>
      <c r="W63" s="962"/>
      <c r="X63" s="962"/>
      <c r="Y63" s="962"/>
      <c r="Z63" s="509" t="str">
        <f>IF(AND(B9&lt;&gt;"処遇加算なし",F15=4),IF(V44="✓",1,IF(V45="✓",2,"")),"")</f>
        <v/>
      </c>
      <c r="AA63" s="138"/>
      <c r="AB63" s="142"/>
      <c r="AC63" s="962" t="s">
        <v>2383</v>
      </c>
      <c r="AD63" s="962"/>
      <c r="AE63" s="962"/>
      <c r="AF63" s="962"/>
      <c r="AG63" s="962"/>
      <c r="AH63" s="404">
        <f>IF(AND(F15&lt;&gt;4,F15&lt;&gt;5),0,IF(AZ8="○",1,2))</f>
        <v>2</v>
      </c>
      <c r="AI63" s="145"/>
      <c r="AJ63" s="142"/>
      <c r="AK63" s="962" t="s">
        <v>2383</v>
      </c>
      <c r="AL63" s="962"/>
      <c r="AM63" s="962"/>
      <c r="AN63" s="962"/>
      <c r="AO63" s="962"/>
      <c r="AP63" s="404">
        <f>IF(AZ8="○",1,2)</f>
        <v>2</v>
      </c>
      <c r="AQ63" s="138"/>
      <c r="AR63" s="138"/>
      <c r="AS63" s="962" t="str">
        <f>IF(OR(AND(Z63=1,AH63=2),AND(Z63=1,AP63=2)),"○","")</f>
        <v/>
      </c>
      <c r="AT63" s="962"/>
      <c r="AU63" s="962"/>
      <c r="AV63" s="962"/>
      <c r="AW63" s="969" t="str">
        <f>IF(OR((AD63-AL63)&lt;0,(AD63-AT63)&lt;0),"!","")</f>
        <v/>
      </c>
      <c r="AX63" s="969"/>
      <c r="AY63" s="969"/>
      <c r="AZ63" s="969"/>
      <c r="BP63" s="144"/>
      <c r="BR63" s="144"/>
      <c r="BS63" s="144"/>
      <c r="BT63" s="144"/>
      <c r="BU63" s="144"/>
      <c r="BV63" s="144"/>
      <c r="BW63" s="144"/>
      <c r="BX63" s="144"/>
      <c r="BY63" s="144"/>
      <c r="BZ63" s="144"/>
      <c r="CA63" s="144"/>
      <c r="CB63" s="144"/>
      <c r="CC63" s="144"/>
      <c r="CD63" s="144"/>
      <c r="CE63" s="144"/>
      <c r="CF63" s="144"/>
      <c r="CH63" s="146"/>
    </row>
    <row r="64" spans="2:86" ht="15.95" customHeight="1">
      <c r="BP64" s="94"/>
      <c r="BQ64" s="94"/>
      <c r="BR64" s="94"/>
      <c r="BS64" s="94"/>
      <c r="BT64" s="94"/>
      <c r="BU64" s="94"/>
      <c r="BV64" s="94"/>
      <c r="BW64" s="94"/>
      <c r="BX64" s="94"/>
      <c r="BY64" s="94"/>
      <c r="BZ64" s="94"/>
      <c r="CA64" s="94"/>
      <c r="CB64" s="94"/>
      <c r="CC64" s="94"/>
      <c r="CD64" s="94"/>
      <c r="CE64" s="94"/>
      <c r="CF64" s="94"/>
    </row>
    <row r="65" spans="20:71" ht="15.95" customHeight="1">
      <c r="BS65" s="94"/>
    </row>
    <row r="66" spans="20:71" ht="15.95" customHeight="1"/>
    <row r="67" spans="20:71" ht="15.95" customHeight="1">
      <c r="T67" s="69">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xr:uid="{42C6F2CC-3575-4DAA-B6E9-B7985514776C}">
      <formula1>0</formula1>
    </dataValidation>
    <dataValidation type="list" allowBlank="1" showInputMessage="1" showErrorMessage="1" sqref="AL41:AP41" xr:uid="{FACA2B58-490D-4AA9-B0FB-0F070C5AC533}">
      <formula1>INDIRECT(BF1)</formula1>
    </dataValidation>
    <dataValidation type="list" allowBlank="1" showInputMessage="1" showErrorMessage="1" sqref="AD41:AH41" xr:uid="{66AF5716-EB59-4A00-B291-153497D5CB9A}">
      <formula1>INDIRECT(BF1)</formula1>
    </dataValidation>
    <dataValidation type="textLength" operator="equal" allowBlank="1" showInputMessage="1" showErrorMessage="1" error="10桁の介護保険事業所番号を入力してください。_x000a_（桁数が異なるとエラーになります）" sqref="B5:F5" xr:uid="{26360ED3-EDF2-470E-8238-0483F21EAF75}">
      <formula1>10</formula1>
    </dataValidation>
    <dataValidation type="list" allowBlank="1" showInputMessage="1" showErrorMessage="1" sqref="K15:K16 D15:D16" xr:uid="{22238963-3A63-4B30-8BDF-AA37ACD67BC0}">
      <formula1>"6,7"</formula1>
    </dataValidation>
    <dataValidation type="list" allowBlank="1" showInputMessage="1" showErrorMessage="1" sqref="M15:M16" xr:uid="{DDAD50BF-0E3D-45C3-89C7-F285CCCD5DD9}">
      <formula1>"1,2,3,6,7,8,9,10,11,12"</formula1>
    </dataValidation>
    <dataValidation type="list" allowBlank="1" showInputMessage="1" showErrorMessage="1" sqref="M5:O5" xr:uid="{F7C9D8A9-3831-4F52-B55C-CB2A5AE904CC}">
      <formula1>INDIRECT(J5)</formula1>
    </dataValidation>
    <dataValidation type="list" allowBlank="1" showInputMessage="1" showErrorMessage="1" sqref="Y5:AD5" xr:uid="{A6154D3C-3D53-4386-AA84-8E8F12D697B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D7F3C65-26E2-4AEC-887C-5C19DE9FC98C}">
          <x14:formula1>
            <xm:f>【参考】数式用!$B$4:$E$4</xm:f>
          </x14:formula1>
          <xm:sqref>B9:F9</xm:sqref>
        </x14:dataValidation>
        <x14:dataValidation type="list" allowBlank="1" showInputMessage="1" showErrorMessage="1" xr:uid="{A76D8559-1001-4A33-82FD-2AE081295233}">
          <x14:formula1>
            <xm:f>【参考】数式用!$F$4:$H$4</xm:f>
          </x14:formula1>
          <xm:sqref>G9</xm:sqref>
        </x14:dataValidation>
        <x14:dataValidation type="list" allowBlank="1" showInputMessage="1" showErrorMessage="1" xr:uid="{79F0AB75-0214-452E-8ECE-D4EAF6A0A1E0}">
          <x14:formula1>
            <xm:f>【参考】数式用!$I$4:$J$4</xm:f>
          </x14:formula1>
          <xm:sqref>L9</xm:sqref>
        </x14:dataValidation>
        <x14:dataValidation type="list" allowBlank="1" showInputMessage="1" showErrorMessage="1" xr:uid="{FD46CA55-AC52-4C5B-A20F-720419EA38DD}">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24" customWidth="1"/>
    <col min="2" max="28" width="6.75" style="424" customWidth="1"/>
    <col min="29" max="29" width="12" style="424" customWidth="1"/>
    <col min="30" max="30" width="8" style="424" customWidth="1"/>
    <col min="31" max="31" width="46.375" style="424" customWidth="1"/>
    <col min="32" max="32" width="26.875" style="424" customWidth="1"/>
    <col min="33" max="33" width="9.125" style="424" customWidth="1"/>
    <col min="34" max="34" width="38.375" style="424" customWidth="1"/>
    <col min="35" max="35" width="38.625" style="424" customWidth="1"/>
    <col min="36" max="36" width="9" style="424"/>
    <col min="37" max="37" width="16.75" style="424" customWidth="1"/>
    <col min="38" max="42" width="9" style="424"/>
    <col min="43" max="43" width="48.5" style="424" customWidth="1"/>
    <col min="44" max="44" width="104.375" style="424" customWidth="1"/>
    <col min="45" max="16384" width="9" style="424"/>
  </cols>
  <sheetData>
    <row r="1" spans="1:44" ht="14.25" thickBot="1">
      <c r="A1" s="423" t="s">
        <v>218</v>
      </c>
      <c r="B1" s="423"/>
      <c r="C1" s="423"/>
      <c r="D1" s="423"/>
      <c r="E1" s="423"/>
      <c r="AD1" s="425"/>
      <c r="AE1" s="423" t="s">
        <v>2109</v>
      </c>
      <c r="AH1" s="424" t="s">
        <v>219</v>
      </c>
      <c r="AK1" s="424" t="s">
        <v>220</v>
      </c>
      <c r="AM1" s="426" t="s">
        <v>221</v>
      </c>
      <c r="AO1" s="423" t="s">
        <v>222</v>
      </c>
    </row>
    <row r="2" spans="1:44" ht="36.75" customHeight="1" thickBot="1">
      <c r="A2" s="1141" t="s">
        <v>224</v>
      </c>
      <c r="B2" s="1143" t="s">
        <v>2239</v>
      </c>
      <c r="C2" s="1144"/>
      <c r="D2" s="1144"/>
      <c r="E2" s="1145"/>
      <c r="F2" s="1146" t="s">
        <v>2240</v>
      </c>
      <c r="G2" s="1147"/>
      <c r="H2" s="1147"/>
      <c r="I2" s="1141" t="s">
        <v>2241</v>
      </c>
      <c r="J2" s="1148"/>
      <c r="K2" s="1151" t="s">
        <v>2242</v>
      </c>
      <c r="L2" s="1152"/>
      <c r="M2" s="1152"/>
      <c r="N2" s="1152"/>
      <c r="O2" s="1152"/>
      <c r="P2" s="1152"/>
      <c r="Q2" s="1152"/>
      <c r="R2" s="1152"/>
      <c r="S2" s="1152"/>
      <c r="T2" s="1152"/>
      <c r="U2" s="1152"/>
      <c r="V2" s="1152"/>
      <c r="W2" s="1152"/>
      <c r="X2" s="1152"/>
      <c r="Y2" s="1152"/>
      <c r="Z2" s="1152"/>
      <c r="AA2" s="1152"/>
      <c r="AB2" s="1153"/>
      <c r="AC2" s="1171" t="s">
        <v>2243</v>
      </c>
      <c r="AD2" s="425"/>
      <c r="AE2" s="1167" t="s">
        <v>224</v>
      </c>
      <c r="AF2" s="1169" t="s">
        <v>2277</v>
      </c>
      <c r="AH2" s="420" t="s">
        <v>2244</v>
      </c>
      <c r="AI2" s="421" t="s">
        <v>2244</v>
      </c>
      <c r="AK2" s="427" t="s">
        <v>181</v>
      </c>
      <c r="AM2" s="427" t="s">
        <v>16</v>
      </c>
      <c r="AO2" s="428" t="s">
        <v>226</v>
      </c>
      <c r="AQ2" s="1161" t="s">
        <v>2008</v>
      </c>
      <c r="AR2" s="1164" t="s">
        <v>225</v>
      </c>
    </row>
    <row r="3" spans="1:44" ht="51.75" customHeight="1" thickBot="1">
      <c r="A3" s="1142"/>
      <c r="B3" s="1154" t="s">
        <v>228</v>
      </c>
      <c r="C3" s="1155"/>
      <c r="D3" s="1155"/>
      <c r="E3" s="1156"/>
      <c r="F3" s="1157" t="s">
        <v>229</v>
      </c>
      <c r="G3" s="1157"/>
      <c r="H3" s="1157"/>
      <c r="I3" s="1149"/>
      <c r="J3" s="1150"/>
      <c r="K3" s="1158" t="s">
        <v>230</v>
      </c>
      <c r="L3" s="1159"/>
      <c r="M3" s="1159"/>
      <c r="N3" s="1159"/>
      <c r="O3" s="1159"/>
      <c r="P3" s="1159"/>
      <c r="Q3" s="1159"/>
      <c r="R3" s="1159"/>
      <c r="S3" s="1159"/>
      <c r="T3" s="1159"/>
      <c r="U3" s="1159"/>
      <c r="V3" s="1159"/>
      <c r="W3" s="1159"/>
      <c r="X3" s="1159"/>
      <c r="Y3" s="1159"/>
      <c r="Z3" s="1159"/>
      <c r="AA3" s="1159"/>
      <c r="AB3" s="1160"/>
      <c r="AC3" s="1172"/>
      <c r="AD3" s="425"/>
      <c r="AE3" s="1168"/>
      <c r="AF3" s="1170"/>
      <c r="AH3" s="419" t="s">
        <v>2245</v>
      </c>
      <c r="AI3" s="422" t="s">
        <v>2245</v>
      </c>
      <c r="AK3" s="429"/>
      <c r="AM3" s="429"/>
      <c r="AO3" s="430" t="s">
        <v>18</v>
      </c>
      <c r="AQ3" s="1162"/>
      <c r="AR3" s="1165"/>
    </row>
    <row r="4" spans="1:44" ht="41.25" customHeight="1" thickBot="1">
      <c r="A4" s="1142"/>
      <c r="B4" s="431" t="s">
        <v>7</v>
      </c>
      <c r="C4" s="432" t="s">
        <v>231</v>
      </c>
      <c r="D4" s="432" t="s">
        <v>232</v>
      </c>
      <c r="E4" s="433" t="s">
        <v>233</v>
      </c>
      <c r="F4" s="434" t="s">
        <v>234</v>
      </c>
      <c r="G4" s="435" t="s">
        <v>8</v>
      </c>
      <c r="H4" s="435" t="s">
        <v>11</v>
      </c>
      <c r="I4" s="436" t="s">
        <v>13</v>
      </c>
      <c r="J4" s="437" t="s">
        <v>9</v>
      </c>
      <c r="K4" s="438" t="s">
        <v>235</v>
      </c>
      <c r="L4" s="439" t="s">
        <v>236</v>
      </c>
      <c r="M4" s="439" t="s">
        <v>238</v>
      </c>
      <c r="N4" s="439" t="s">
        <v>240</v>
      </c>
      <c r="O4" s="439" t="s">
        <v>2023</v>
      </c>
      <c r="P4" s="439" t="s">
        <v>2024</v>
      </c>
      <c r="Q4" s="439" t="s">
        <v>2025</v>
      </c>
      <c r="R4" s="439" t="s">
        <v>2026</v>
      </c>
      <c r="S4" s="439" t="s">
        <v>2027</v>
      </c>
      <c r="T4" s="439" t="s">
        <v>2028</v>
      </c>
      <c r="U4" s="439" t="s">
        <v>2029</v>
      </c>
      <c r="V4" s="439" t="s">
        <v>2030</v>
      </c>
      <c r="W4" s="439" t="s">
        <v>2351</v>
      </c>
      <c r="X4" s="439" t="s">
        <v>2350</v>
      </c>
      <c r="Y4" s="439" t="s">
        <v>2347</v>
      </c>
      <c r="Z4" s="439" t="s">
        <v>2346</v>
      </c>
      <c r="AA4" s="439" t="s">
        <v>2348</v>
      </c>
      <c r="AB4" s="440" t="s">
        <v>2349</v>
      </c>
      <c r="AC4" s="1173"/>
      <c r="AD4" s="425"/>
      <c r="AE4" s="1168"/>
      <c r="AF4" s="1170"/>
      <c r="AH4" s="419" t="s">
        <v>2280</v>
      </c>
      <c r="AI4" s="422" t="s">
        <v>2280</v>
      </c>
      <c r="AO4" s="430" t="s">
        <v>237</v>
      </c>
      <c r="AQ4" s="1163"/>
      <c r="AR4" s="1166"/>
    </row>
    <row r="5" spans="1:44">
      <c r="A5" s="417" t="s">
        <v>2244</v>
      </c>
      <c r="B5" s="441">
        <v>0.27400000000000002</v>
      </c>
      <c r="C5" s="442">
        <v>0.2</v>
      </c>
      <c r="D5" s="442">
        <v>0.111</v>
      </c>
      <c r="E5" s="443">
        <v>0</v>
      </c>
      <c r="F5" s="444">
        <v>7.0000000000000007E-2</v>
      </c>
      <c r="G5" s="442">
        <v>5.5E-2</v>
      </c>
      <c r="H5" s="445">
        <v>0</v>
      </c>
      <c r="I5" s="441">
        <v>4.4999999999999998E-2</v>
      </c>
      <c r="J5" s="443">
        <v>0</v>
      </c>
      <c r="K5" s="446">
        <v>0.41700000000000004</v>
      </c>
      <c r="L5" s="447">
        <v>0.40200000000000002</v>
      </c>
      <c r="M5" s="447">
        <v>0.34700000000000003</v>
      </c>
      <c r="N5" s="447">
        <v>0.27300000000000002</v>
      </c>
      <c r="O5" s="447">
        <v>0.37200000000000005</v>
      </c>
      <c r="P5" s="447">
        <v>0.34300000000000003</v>
      </c>
      <c r="Q5" s="447">
        <v>0.35700000000000004</v>
      </c>
      <c r="R5" s="447">
        <v>0.32800000000000001</v>
      </c>
      <c r="S5" s="447">
        <v>0.29800000000000004</v>
      </c>
      <c r="T5" s="447">
        <v>0.28300000000000003</v>
      </c>
      <c r="U5" s="447">
        <v>0.254</v>
      </c>
      <c r="V5" s="447">
        <v>0.30200000000000005</v>
      </c>
      <c r="W5" s="447">
        <v>0.23900000000000002</v>
      </c>
      <c r="X5" s="447">
        <v>0.20899999999999999</v>
      </c>
      <c r="Y5" s="447">
        <v>0.22800000000000001</v>
      </c>
      <c r="Z5" s="447">
        <v>0.19400000000000001</v>
      </c>
      <c r="AA5" s="447">
        <v>0.184</v>
      </c>
      <c r="AB5" s="448">
        <v>0.13900000000000001</v>
      </c>
      <c r="AC5" s="449">
        <v>2.8000000000000001E-2</v>
      </c>
      <c r="AD5" s="425"/>
      <c r="AE5" s="419" t="s">
        <v>2244</v>
      </c>
      <c r="AF5" s="450" t="s">
        <v>2278</v>
      </c>
      <c r="AH5" s="419" t="s">
        <v>2281</v>
      </c>
      <c r="AI5" s="422" t="s">
        <v>2281</v>
      </c>
      <c r="AK5" s="427" t="s">
        <v>181</v>
      </c>
      <c r="AO5" s="430" t="s">
        <v>239</v>
      </c>
      <c r="AQ5" s="419" t="s">
        <v>2244</v>
      </c>
      <c r="AR5" s="450" t="s">
        <v>2316</v>
      </c>
    </row>
    <row r="6" spans="1:44" ht="14.25" thickBot="1">
      <c r="A6" s="417" t="s">
        <v>2245</v>
      </c>
      <c r="B6" s="441">
        <v>0.2</v>
      </c>
      <c r="C6" s="442">
        <v>0.14599999999999999</v>
      </c>
      <c r="D6" s="442">
        <v>8.1000000000000003E-2</v>
      </c>
      <c r="E6" s="443">
        <v>0</v>
      </c>
      <c r="F6" s="444">
        <v>7.0000000000000007E-2</v>
      </c>
      <c r="G6" s="442">
        <v>5.5E-2</v>
      </c>
      <c r="H6" s="445">
        <v>0</v>
      </c>
      <c r="I6" s="441">
        <v>4.4999999999999998E-2</v>
      </c>
      <c r="J6" s="443">
        <v>0</v>
      </c>
      <c r="K6" s="446">
        <v>0.34300000000000003</v>
      </c>
      <c r="L6" s="447">
        <v>0.32800000000000001</v>
      </c>
      <c r="M6" s="447">
        <v>0.27300000000000002</v>
      </c>
      <c r="N6" s="447">
        <v>0.219</v>
      </c>
      <c r="O6" s="447">
        <v>0.29800000000000004</v>
      </c>
      <c r="P6" s="447">
        <v>0.28900000000000003</v>
      </c>
      <c r="Q6" s="447">
        <v>0.28300000000000003</v>
      </c>
      <c r="R6" s="447">
        <v>0.27400000000000002</v>
      </c>
      <c r="S6" s="447">
        <v>0.24399999999999999</v>
      </c>
      <c r="T6" s="447">
        <v>0.22899999999999998</v>
      </c>
      <c r="U6" s="447">
        <v>0.224</v>
      </c>
      <c r="V6" s="447">
        <v>0.22800000000000001</v>
      </c>
      <c r="W6" s="447">
        <v>0.20899999999999999</v>
      </c>
      <c r="X6" s="447">
        <v>0.17900000000000002</v>
      </c>
      <c r="Y6" s="447">
        <v>0.17399999999999999</v>
      </c>
      <c r="Z6" s="447">
        <v>0.16400000000000001</v>
      </c>
      <c r="AA6" s="447">
        <v>0.154</v>
      </c>
      <c r="AB6" s="448">
        <v>0.109</v>
      </c>
      <c r="AC6" s="449">
        <v>2.8000000000000001E-2</v>
      </c>
      <c r="AD6" s="425"/>
      <c r="AE6" s="419" t="s">
        <v>2245</v>
      </c>
      <c r="AF6" s="450" t="s">
        <v>2279</v>
      </c>
      <c r="AH6" s="419" t="s">
        <v>2282</v>
      </c>
      <c r="AI6" s="422" t="s">
        <v>2282</v>
      </c>
      <c r="AK6" s="451" t="s">
        <v>241</v>
      </c>
      <c r="AO6" s="452"/>
      <c r="AQ6" s="419" t="s">
        <v>2245</v>
      </c>
      <c r="AR6" s="450" t="s">
        <v>2316</v>
      </c>
    </row>
    <row r="7" spans="1:44" ht="14.25" thickBot="1">
      <c r="A7" s="417" t="s">
        <v>2246</v>
      </c>
      <c r="B7" s="441">
        <v>0.27400000000000002</v>
      </c>
      <c r="C7" s="442">
        <v>0.2</v>
      </c>
      <c r="D7" s="442">
        <v>0.111</v>
      </c>
      <c r="E7" s="443">
        <v>0</v>
      </c>
      <c r="F7" s="444">
        <v>7.0000000000000007E-2</v>
      </c>
      <c r="G7" s="442">
        <v>5.5E-2</v>
      </c>
      <c r="H7" s="445">
        <v>0</v>
      </c>
      <c r="I7" s="441">
        <v>4.4999999999999998E-2</v>
      </c>
      <c r="J7" s="443">
        <v>0</v>
      </c>
      <c r="K7" s="446">
        <v>0.41700000000000004</v>
      </c>
      <c r="L7" s="447">
        <v>0.40200000000000002</v>
      </c>
      <c r="M7" s="447">
        <v>0.34700000000000003</v>
      </c>
      <c r="N7" s="447">
        <v>0.27300000000000002</v>
      </c>
      <c r="O7" s="447">
        <v>0.37200000000000005</v>
      </c>
      <c r="P7" s="447">
        <v>0.34300000000000003</v>
      </c>
      <c r="Q7" s="447">
        <v>0.35700000000000004</v>
      </c>
      <c r="R7" s="447">
        <v>0.32800000000000001</v>
      </c>
      <c r="S7" s="447">
        <v>0.29800000000000004</v>
      </c>
      <c r="T7" s="447">
        <v>0.28300000000000003</v>
      </c>
      <c r="U7" s="447">
        <v>0.254</v>
      </c>
      <c r="V7" s="447">
        <v>0.30200000000000005</v>
      </c>
      <c r="W7" s="447">
        <v>0.23900000000000002</v>
      </c>
      <c r="X7" s="447">
        <v>0.20899999999999999</v>
      </c>
      <c r="Y7" s="447">
        <v>0.22800000000000001</v>
      </c>
      <c r="Z7" s="447">
        <v>0.19400000000000001</v>
      </c>
      <c r="AA7" s="447">
        <v>0.184</v>
      </c>
      <c r="AB7" s="448">
        <v>0.13900000000000001</v>
      </c>
      <c r="AC7" s="449">
        <v>2.8000000000000001E-2</v>
      </c>
      <c r="AD7" s="425"/>
      <c r="AE7" s="419" t="s">
        <v>2280</v>
      </c>
      <c r="AF7" s="450" t="s">
        <v>2279</v>
      </c>
      <c r="AH7" s="419" t="s">
        <v>2284</v>
      </c>
      <c r="AI7" s="422" t="s">
        <v>2284</v>
      </c>
      <c r="AK7" s="429"/>
      <c r="AQ7" s="419" t="s">
        <v>2280</v>
      </c>
      <c r="AR7" s="450" t="s">
        <v>2316</v>
      </c>
    </row>
    <row r="8" spans="1:44">
      <c r="A8" s="417" t="s">
        <v>2247</v>
      </c>
      <c r="B8" s="441">
        <v>0.23899999999999999</v>
      </c>
      <c r="C8" s="442">
        <v>0.17499999999999999</v>
      </c>
      <c r="D8" s="442">
        <v>9.7000000000000003E-2</v>
      </c>
      <c r="E8" s="443">
        <v>0</v>
      </c>
      <c r="F8" s="444">
        <v>7.0000000000000007E-2</v>
      </c>
      <c r="G8" s="442">
        <v>5.5E-2</v>
      </c>
      <c r="H8" s="445">
        <v>0</v>
      </c>
      <c r="I8" s="441">
        <v>4.4999999999999998E-2</v>
      </c>
      <c r="J8" s="443">
        <v>0</v>
      </c>
      <c r="K8" s="446">
        <v>0.38200000000000001</v>
      </c>
      <c r="L8" s="447">
        <v>0.36699999999999999</v>
      </c>
      <c r="M8" s="447">
        <v>0.312</v>
      </c>
      <c r="N8" s="447">
        <v>0.24799999999999997</v>
      </c>
      <c r="O8" s="447">
        <v>0.33700000000000002</v>
      </c>
      <c r="P8" s="447">
        <v>0.318</v>
      </c>
      <c r="Q8" s="447">
        <v>0.32200000000000001</v>
      </c>
      <c r="R8" s="447">
        <v>0.30299999999999999</v>
      </c>
      <c r="S8" s="447">
        <v>0.27300000000000002</v>
      </c>
      <c r="T8" s="447">
        <v>0.25800000000000001</v>
      </c>
      <c r="U8" s="447">
        <v>0.24000000000000002</v>
      </c>
      <c r="V8" s="447">
        <v>0.26700000000000002</v>
      </c>
      <c r="W8" s="447">
        <v>0.22500000000000001</v>
      </c>
      <c r="X8" s="447">
        <v>0.19500000000000001</v>
      </c>
      <c r="Y8" s="447">
        <v>0.20299999999999999</v>
      </c>
      <c r="Z8" s="447">
        <v>0.18</v>
      </c>
      <c r="AA8" s="447">
        <v>0.17</v>
      </c>
      <c r="AB8" s="448">
        <v>0.125</v>
      </c>
      <c r="AC8" s="449">
        <v>2.8000000000000001E-2</v>
      </c>
      <c r="AD8" s="425"/>
      <c r="AE8" s="419" t="s">
        <v>2281</v>
      </c>
      <c r="AF8" s="450" t="s">
        <v>2279</v>
      </c>
      <c r="AH8" s="419" t="s">
        <v>2286</v>
      </c>
      <c r="AI8" s="422" t="s">
        <v>2286</v>
      </c>
      <c r="AQ8" s="419" t="s">
        <v>2281</v>
      </c>
      <c r="AR8" s="450" t="s">
        <v>2316</v>
      </c>
    </row>
    <row r="9" spans="1:44">
      <c r="A9" s="417" t="s">
        <v>2353</v>
      </c>
      <c r="B9" s="441">
        <v>8.8999999999999996E-2</v>
      </c>
      <c r="C9" s="442">
        <v>6.5000000000000002E-2</v>
      </c>
      <c r="D9" s="442">
        <v>3.5999999999999997E-2</v>
      </c>
      <c r="E9" s="443">
        <v>0</v>
      </c>
      <c r="F9" s="444">
        <v>6.0999999999999999E-2</v>
      </c>
      <c r="G9" s="453" t="s">
        <v>2248</v>
      </c>
      <c r="H9" s="445">
        <v>0</v>
      </c>
      <c r="I9" s="441">
        <v>4.4999999999999998E-2</v>
      </c>
      <c r="J9" s="443">
        <v>0</v>
      </c>
      <c r="K9" s="446">
        <v>0.223</v>
      </c>
      <c r="L9" s="453" t="s">
        <v>2248</v>
      </c>
      <c r="M9" s="447">
        <v>0.16200000000000001</v>
      </c>
      <c r="N9" s="447">
        <v>0.13800000000000001</v>
      </c>
      <c r="O9" s="447">
        <v>0.17799999999999999</v>
      </c>
      <c r="P9" s="447">
        <v>0.19899999999999998</v>
      </c>
      <c r="Q9" s="453" t="s">
        <v>2248</v>
      </c>
      <c r="R9" s="453" t="s">
        <v>2248</v>
      </c>
      <c r="S9" s="447">
        <v>0.154</v>
      </c>
      <c r="T9" s="453" t="s">
        <v>2248</v>
      </c>
      <c r="U9" s="447">
        <v>0.17</v>
      </c>
      <c r="V9" s="447">
        <v>0.11699999999999999</v>
      </c>
      <c r="W9" s="453" t="s">
        <v>2248</v>
      </c>
      <c r="X9" s="447">
        <v>0.125</v>
      </c>
      <c r="Y9" s="447">
        <v>9.2999999999999999E-2</v>
      </c>
      <c r="Z9" s="453" t="s">
        <v>2248</v>
      </c>
      <c r="AA9" s="447">
        <v>0.10899999999999999</v>
      </c>
      <c r="AB9" s="448">
        <v>6.4000000000000001E-2</v>
      </c>
      <c r="AC9" s="449">
        <v>2.8000000000000001E-2</v>
      </c>
      <c r="AD9" s="425"/>
      <c r="AE9" s="419" t="s">
        <v>2282</v>
      </c>
      <c r="AF9" s="450" t="s">
        <v>2283</v>
      </c>
      <c r="AH9" s="419" t="s">
        <v>2251</v>
      </c>
      <c r="AI9" s="422" t="s">
        <v>2251</v>
      </c>
      <c r="AQ9" s="419" t="s">
        <v>2282</v>
      </c>
      <c r="AR9" s="450" t="s">
        <v>2373</v>
      </c>
    </row>
    <row r="10" spans="1:44">
      <c r="A10" s="417" t="s">
        <v>2249</v>
      </c>
      <c r="B10" s="441">
        <v>4.3999999999999997E-2</v>
      </c>
      <c r="C10" s="442">
        <v>3.2000000000000001E-2</v>
      </c>
      <c r="D10" s="442">
        <v>1.7999999999999999E-2</v>
      </c>
      <c r="E10" s="443">
        <v>0</v>
      </c>
      <c r="F10" s="444">
        <v>1.4E-2</v>
      </c>
      <c r="G10" s="442">
        <v>1.2999999999999999E-2</v>
      </c>
      <c r="H10" s="445">
        <v>0</v>
      </c>
      <c r="I10" s="441">
        <v>1.0999999999999999E-2</v>
      </c>
      <c r="J10" s="443">
        <v>0</v>
      </c>
      <c r="K10" s="446">
        <v>8.0999999999999989E-2</v>
      </c>
      <c r="L10" s="447">
        <v>7.9999999999999988E-2</v>
      </c>
      <c r="M10" s="447">
        <v>6.699999999999999E-2</v>
      </c>
      <c r="N10" s="447">
        <v>5.4999999999999993E-2</v>
      </c>
      <c r="O10" s="447">
        <v>6.9999999999999993E-2</v>
      </c>
      <c r="P10" s="447">
        <v>6.8999999999999992E-2</v>
      </c>
      <c r="Q10" s="447">
        <v>6.8999999999999992E-2</v>
      </c>
      <c r="R10" s="447">
        <v>6.7999999999999991E-2</v>
      </c>
      <c r="S10" s="447">
        <v>5.7999999999999996E-2</v>
      </c>
      <c r="T10" s="447">
        <v>5.6999999999999995E-2</v>
      </c>
      <c r="U10" s="447">
        <v>5.4999999999999993E-2</v>
      </c>
      <c r="V10" s="447">
        <v>5.5999999999999994E-2</v>
      </c>
      <c r="W10" s="447">
        <v>5.3999999999999992E-2</v>
      </c>
      <c r="X10" s="447">
        <v>4.3999999999999997E-2</v>
      </c>
      <c r="Y10" s="447">
        <v>4.3999999999999997E-2</v>
      </c>
      <c r="Z10" s="447">
        <v>4.2999999999999997E-2</v>
      </c>
      <c r="AA10" s="447">
        <v>4.0999999999999995E-2</v>
      </c>
      <c r="AB10" s="448">
        <v>0.03</v>
      </c>
      <c r="AC10" s="449">
        <v>1.2E-2</v>
      </c>
      <c r="AD10" s="425"/>
      <c r="AE10" s="419" t="s">
        <v>2284</v>
      </c>
      <c r="AF10" s="450" t="s">
        <v>2285</v>
      </c>
      <c r="AH10" s="419" t="s">
        <v>2287</v>
      </c>
      <c r="AI10" s="422" t="s">
        <v>2287</v>
      </c>
      <c r="AQ10" s="419" t="s">
        <v>2284</v>
      </c>
      <c r="AR10" s="450" t="s">
        <v>2317</v>
      </c>
    </row>
    <row r="11" spans="1:44">
      <c r="A11" s="417" t="s">
        <v>2250</v>
      </c>
      <c r="B11" s="441">
        <v>8.5999999999999993E-2</v>
      </c>
      <c r="C11" s="442">
        <v>6.3E-2</v>
      </c>
      <c r="D11" s="442">
        <v>3.5000000000000003E-2</v>
      </c>
      <c r="E11" s="443">
        <v>0</v>
      </c>
      <c r="F11" s="444">
        <v>2.1000000000000001E-2</v>
      </c>
      <c r="G11" s="453" t="s">
        <v>2248</v>
      </c>
      <c r="H11" s="445">
        <v>0</v>
      </c>
      <c r="I11" s="441">
        <v>2.8000000000000001E-2</v>
      </c>
      <c r="J11" s="443">
        <v>0</v>
      </c>
      <c r="K11" s="446">
        <v>0.159</v>
      </c>
      <c r="L11" s="453" t="s">
        <v>2248</v>
      </c>
      <c r="M11" s="447">
        <v>0.13799999999999998</v>
      </c>
      <c r="N11" s="447">
        <v>0.11499999999999999</v>
      </c>
      <c r="O11" s="447">
        <v>0.13100000000000001</v>
      </c>
      <c r="P11" s="447">
        <v>0.13600000000000001</v>
      </c>
      <c r="Q11" s="453" t="s">
        <v>2248</v>
      </c>
      <c r="R11" s="453" t="s">
        <v>2248</v>
      </c>
      <c r="S11" s="447">
        <v>0.10800000000000001</v>
      </c>
      <c r="T11" s="453" t="s">
        <v>2248</v>
      </c>
      <c r="U11" s="447">
        <v>0.10800000000000001</v>
      </c>
      <c r="V11" s="447">
        <v>0.10999999999999999</v>
      </c>
      <c r="W11" s="453" t="s">
        <v>2248</v>
      </c>
      <c r="X11" s="447">
        <v>8.0000000000000016E-2</v>
      </c>
      <c r="Y11" s="447">
        <v>8.6999999999999994E-2</v>
      </c>
      <c r="Z11" s="453" t="s">
        <v>2248</v>
      </c>
      <c r="AA11" s="447">
        <v>8.6999999999999994E-2</v>
      </c>
      <c r="AB11" s="448">
        <v>5.9000000000000004E-2</v>
      </c>
      <c r="AC11" s="449">
        <v>2.4E-2</v>
      </c>
      <c r="AD11" s="425"/>
      <c r="AE11" s="419" t="s">
        <v>2286</v>
      </c>
      <c r="AF11" s="450" t="s">
        <v>2283</v>
      </c>
      <c r="AH11" s="419" t="s">
        <v>2288</v>
      </c>
      <c r="AI11" s="422" t="s">
        <v>2305</v>
      </c>
      <c r="AQ11" s="419" t="s">
        <v>2286</v>
      </c>
      <c r="AR11" s="450" t="s">
        <v>2373</v>
      </c>
    </row>
    <row r="12" spans="1:44">
      <c r="A12" s="417" t="s">
        <v>2251</v>
      </c>
      <c r="B12" s="441">
        <v>8.5999999999999993E-2</v>
      </c>
      <c r="C12" s="442">
        <v>6.3E-2</v>
      </c>
      <c r="D12" s="442">
        <v>3.5000000000000003E-2</v>
      </c>
      <c r="E12" s="443">
        <v>0</v>
      </c>
      <c r="F12" s="444">
        <v>2.1000000000000001E-2</v>
      </c>
      <c r="G12" s="453" t="s">
        <v>2248</v>
      </c>
      <c r="H12" s="445">
        <v>0</v>
      </c>
      <c r="I12" s="441">
        <v>2.8000000000000001E-2</v>
      </c>
      <c r="J12" s="443">
        <v>0</v>
      </c>
      <c r="K12" s="446">
        <v>0.159</v>
      </c>
      <c r="L12" s="453" t="s">
        <v>2248</v>
      </c>
      <c r="M12" s="447">
        <v>0.13799999999999998</v>
      </c>
      <c r="N12" s="447">
        <v>0.11499999999999999</v>
      </c>
      <c r="O12" s="447">
        <v>0.13100000000000001</v>
      </c>
      <c r="P12" s="447">
        <v>0.13600000000000001</v>
      </c>
      <c r="Q12" s="453" t="s">
        <v>2248</v>
      </c>
      <c r="R12" s="453" t="s">
        <v>2248</v>
      </c>
      <c r="S12" s="447">
        <v>0.10800000000000001</v>
      </c>
      <c r="T12" s="453" t="s">
        <v>2248</v>
      </c>
      <c r="U12" s="447">
        <v>0.10800000000000001</v>
      </c>
      <c r="V12" s="447">
        <v>0.10999999999999999</v>
      </c>
      <c r="W12" s="453" t="s">
        <v>2248</v>
      </c>
      <c r="X12" s="447">
        <v>8.0000000000000016E-2</v>
      </c>
      <c r="Y12" s="447">
        <v>8.6999999999999994E-2</v>
      </c>
      <c r="Z12" s="453" t="s">
        <v>2248</v>
      </c>
      <c r="AA12" s="447">
        <v>8.6999999999999994E-2</v>
      </c>
      <c r="AB12" s="448">
        <v>5.9000000000000004E-2</v>
      </c>
      <c r="AC12" s="449">
        <v>2.4E-2</v>
      </c>
      <c r="AD12" s="425"/>
      <c r="AE12" s="419" t="s">
        <v>2251</v>
      </c>
      <c r="AF12" s="450" t="s">
        <v>2283</v>
      </c>
      <c r="AH12" s="419" t="s">
        <v>2289</v>
      </c>
      <c r="AI12" s="422" t="s">
        <v>2306</v>
      </c>
      <c r="AQ12" s="419" t="s">
        <v>2251</v>
      </c>
      <c r="AR12" s="450" t="s">
        <v>2373</v>
      </c>
    </row>
    <row r="13" spans="1:44">
      <c r="A13" s="417" t="s">
        <v>2252</v>
      </c>
      <c r="B13" s="441">
        <v>6.4000000000000001E-2</v>
      </c>
      <c r="C13" s="442">
        <v>4.7E-2</v>
      </c>
      <c r="D13" s="442">
        <v>2.5999999999999999E-2</v>
      </c>
      <c r="E13" s="443">
        <v>0</v>
      </c>
      <c r="F13" s="444">
        <v>2.1000000000000001E-2</v>
      </c>
      <c r="G13" s="442">
        <v>1.9E-2</v>
      </c>
      <c r="H13" s="445">
        <v>0</v>
      </c>
      <c r="I13" s="441">
        <v>2.8000000000000001E-2</v>
      </c>
      <c r="J13" s="443">
        <v>0</v>
      </c>
      <c r="K13" s="446">
        <v>0.13700000000000001</v>
      </c>
      <c r="L13" s="447">
        <v>0.13500000000000001</v>
      </c>
      <c r="M13" s="447">
        <v>0.11599999999999999</v>
      </c>
      <c r="N13" s="447">
        <v>9.9000000000000005E-2</v>
      </c>
      <c r="O13" s="447">
        <v>0.10900000000000001</v>
      </c>
      <c r="P13" s="447">
        <v>0.12</v>
      </c>
      <c r="Q13" s="447">
        <v>0.10700000000000001</v>
      </c>
      <c r="R13" s="447">
        <v>0.11799999999999999</v>
      </c>
      <c r="S13" s="447">
        <v>9.1999999999999998E-2</v>
      </c>
      <c r="T13" s="447">
        <v>0.09</v>
      </c>
      <c r="U13" s="447">
        <v>9.9000000000000005E-2</v>
      </c>
      <c r="V13" s="447">
        <v>8.7999999999999995E-2</v>
      </c>
      <c r="W13" s="447">
        <v>9.7000000000000003E-2</v>
      </c>
      <c r="X13" s="447">
        <v>7.1000000000000008E-2</v>
      </c>
      <c r="Y13" s="447">
        <v>7.1000000000000008E-2</v>
      </c>
      <c r="Z13" s="447">
        <v>6.9000000000000006E-2</v>
      </c>
      <c r="AA13" s="447">
        <v>7.8E-2</v>
      </c>
      <c r="AB13" s="448">
        <v>0.05</v>
      </c>
      <c r="AC13" s="449">
        <v>2.4E-2</v>
      </c>
      <c r="AD13" s="425"/>
      <c r="AE13" s="419" t="s">
        <v>2287</v>
      </c>
      <c r="AF13" s="450" t="s">
        <v>2285</v>
      </c>
      <c r="AH13" s="419" t="s">
        <v>2255</v>
      </c>
      <c r="AI13" s="422" t="s">
        <v>2255</v>
      </c>
      <c r="AQ13" s="419" t="s">
        <v>2287</v>
      </c>
      <c r="AR13" s="450" t="s">
        <v>2317</v>
      </c>
    </row>
    <row r="14" spans="1:44">
      <c r="A14" s="417" t="s">
        <v>2253</v>
      </c>
      <c r="B14" s="441">
        <v>6.7000000000000004E-2</v>
      </c>
      <c r="C14" s="442">
        <v>4.9000000000000002E-2</v>
      </c>
      <c r="D14" s="442">
        <v>2.7E-2</v>
      </c>
      <c r="E14" s="443">
        <v>0</v>
      </c>
      <c r="F14" s="444">
        <v>0.04</v>
      </c>
      <c r="G14" s="442">
        <v>3.5999999999999997E-2</v>
      </c>
      <c r="H14" s="445">
        <v>0</v>
      </c>
      <c r="I14" s="441">
        <v>1.7999999999999999E-2</v>
      </c>
      <c r="J14" s="443">
        <v>0</v>
      </c>
      <c r="K14" s="446">
        <v>0.13800000000000001</v>
      </c>
      <c r="L14" s="447">
        <v>0.13400000000000001</v>
      </c>
      <c r="M14" s="447">
        <v>9.8000000000000004E-2</v>
      </c>
      <c r="N14" s="447">
        <v>0.08</v>
      </c>
      <c r="O14" s="447">
        <v>0.12000000000000001</v>
      </c>
      <c r="P14" s="447">
        <v>0.12</v>
      </c>
      <c r="Q14" s="447">
        <v>0.11600000000000001</v>
      </c>
      <c r="R14" s="447">
        <v>0.11599999999999999</v>
      </c>
      <c r="S14" s="447">
        <v>0.10199999999999999</v>
      </c>
      <c r="T14" s="447">
        <v>9.799999999999999E-2</v>
      </c>
      <c r="U14" s="447">
        <v>9.8000000000000004E-2</v>
      </c>
      <c r="V14" s="447">
        <v>0.08</v>
      </c>
      <c r="W14" s="447">
        <v>9.4E-2</v>
      </c>
      <c r="X14" s="447">
        <v>0.08</v>
      </c>
      <c r="Y14" s="447">
        <v>6.2E-2</v>
      </c>
      <c r="Z14" s="447">
        <v>7.5999999999999998E-2</v>
      </c>
      <c r="AA14" s="447">
        <v>5.7999999999999996E-2</v>
      </c>
      <c r="AB14" s="448">
        <v>0.04</v>
      </c>
      <c r="AC14" s="449">
        <v>1.2999999999999999E-2</v>
      </c>
      <c r="AD14" s="425"/>
      <c r="AE14" s="419" t="s">
        <v>2288</v>
      </c>
      <c r="AF14" s="450" t="s">
        <v>2285</v>
      </c>
      <c r="AH14" s="419" t="s">
        <v>2290</v>
      </c>
      <c r="AI14" s="422" t="s">
        <v>2290</v>
      </c>
      <c r="AQ14" s="419" t="s">
        <v>2288</v>
      </c>
      <c r="AR14" s="450" t="s">
        <v>2317</v>
      </c>
    </row>
    <row r="15" spans="1:44">
      <c r="A15" s="417" t="s">
        <v>2254</v>
      </c>
      <c r="B15" s="441">
        <v>6.7000000000000004E-2</v>
      </c>
      <c r="C15" s="442">
        <v>4.9000000000000002E-2</v>
      </c>
      <c r="D15" s="442">
        <v>2.7E-2</v>
      </c>
      <c r="E15" s="443">
        <v>0</v>
      </c>
      <c r="F15" s="444">
        <v>0.04</v>
      </c>
      <c r="G15" s="442">
        <v>3.5999999999999997E-2</v>
      </c>
      <c r="H15" s="445">
        <v>0</v>
      </c>
      <c r="I15" s="441">
        <v>1.7999999999999999E-2</v>
      </c>
      <c r="J15" s="443">
        <v>0</v>
      </c>
      <c r="K15" s="446">
        <v>0.13800000000000001</v>
      </c>
      <c r="L15" s="447">
        <v>0.13400000000000001</v>
      </c>
      <c r="M15" s="447">
        <v>9.8000000000000004E-2</v>
      </c>
      <c r="N15" s="447">
        <v>0.08</v>
      </c>
      <c r="O15" s="447">
        <v>0.12000000000000001</v>
      </c>
      <c r="P15" s="447">
        <v>0.12</v>
      </c>
      <c r="Q15" s="447">
        <v>0.11600000000000001</v>
      </c>
      <c r="R15" s="447">
        <v>0.11599999999999999</v>
      </c>
      <c r="S15" s="447">
        <v>0.10199999999999999</v>
      </c>
      <c r="T15" s="447">
        <v>9.799999999999999E-2</v>
      </c>
      <c r="U15" s="447">
        <v>9.8000000000000004E-2</v>
      </c>
      <c r="V15" s="447">
        <v>0.08</v>
      </c>
      <c r="W15" s="447">
        <v>9.4E-2</v>
      </c>
      <c r="X15" s="447">
        <v>0.08</v>
      </c>
      <c r="Y15" s="447">
        <v>6.2E-2</v>
      </c>
      <c r="Z15" s="447">
        <v>7.5999999999999998E-2</v>
      </c>
      <c r="AA15" s="447">
        <v>5.7999999999999996E-2</v>
      </c>
      <c r="AB15" s="448">
        <v>0.04</v>
      </c>
      <c r="AC15" s="449">
        <v>1.2999999999999999E-2</v>
      </c>
      <c r="AD15" s="425"/>
      <c r="AE15" s="419" t="s">
        <v>2289</v>
      </c>
      <c r="AF15" s="450" t="s">
        <v>2285</v>
      </c>
      <c r="AH15" s="419" t="s">
        <v>2291</v>
      </c>
      <c r="AI15" s="422" t="s">
        <v>2291</v>
      </c>
      <c r="AQ15" s="419" t="s">
        <v>2289</v>
      </c>
      <c r="AR15" s="450" t="s">
        <v>2317</v>
      </c>
    </row>
    <row r="16" spans="1:44">
      <c r="A16" s="417" t="s">
        <v>2255</v>
      </c>
      <c r="B16" s="441">
        <v>6.4000000000000001E-2</v>
      </c>
      <c r="C16" s="442">
        <v>4.7E-2</v>
      </c>
      <c r="D16" s="442">
        <v>2.5999999999999999E-2</v>
      </c>
      <c r="E16" s="443">
        <v>0</v>
      </c>
      <c r="F16" s="444">
        <v>1.7000000000000001E-2</v>
      </c>
      <c r="G16" s="442">
        <v>1.4999999999999999E-2</v>
      </c>
      <c r="H16" s="445">
        <v>0</v>
      </c>
      <c r="I16" s="441">
        <v>1.2999999999999999E-2</v>
      </c>
      <c r="J16" s="443">
        <v>0</v>
      </c>
      <c r="K16" s="446">
        <v>0.10299999999999999</v>
      </c>
      <c r="L16" s="447">
        <v>0.10099999999999999</v>
      </c>
      <c r="M16" s="447">
        <v>8.5999999999999993E-2</v>
      </c>
      <c r="N16" s="447">
        <v>6.8999999999999992E-2</v>
      </c>
      <c r="O16" s="453" t="s">
        <v>2248</v>
      </c>
      <c r="P16" s="453" t="s">
        <v>2248</v>
      </c>
      <c r="Q16" s="453" t="s">
        <v>2248</v>
      </c>
      <c r="R16" s="453" t="s">
        <v>2248</v>
      </c>
      <c r="S16" s="453" t="s">
        <v>2248</v>
      </c>
      <c r="T16" s="453" t="s">
        <v>2248</v>
      </c>
      <c r="U16" s="453" t="s">
        <v>2248</v>
      </c>
      <c r="V16" s="453" t="s">
        <v>2248</v>
      </c>
      <c r="W16" s="453" t="s">
        <v>2248</v>
      </c>
      <c r="X16" s="453" t="s">
        <v>2248</v>
      </c>
      <c r="Y16" s="453" t="s">
        <v>2248</v>
      </c>
      <c r="Z16" s="453" t="s">
        <v>2248</v>
      </c>
      <c r="AA16" s="453" t="s">
        <v>2248</v>
      </c>
      <c r="AB16" s="454" t="s">
        <v>2248</v>
      </c>
      <c r="AC16" s="449">
        <v>8.9999999999999993E-3</v>
      </c>
      <c r="AD16" s="425"/>
      <c r="AE16" s="419" t="s">
        <v>2255</v>
      </c>
      <c r="AF16" s="450" t="s">
        <v>2285</v>
      </c>
      <c r="AH16" s="419" t="s">
        <v>2292</v>
      </c>
      <c r="AI16" s="422" t="s">
        <v>2292</v>
      </c>
      <c r="AQ16" s="419" t="s">
        <v>2255</v>
      </c>
      <c r="AR16" s="450" t="s">
        <v>2317</v>
      </c>
    </row>
    <row r="17" spans="1:44">
      <c r="A17" s="417" t="s">
        <v>2256</v>
      </c>
      <c r="B17" s="441">
        <v>6.4000000000000001E-2</v>
      </c>
      <c r="C17" s="442">
        <v>4.7E-2</v>
      </c>
      <c r="D17" s="442">
        <v>2.5999999999999999E-2</v>
      </c>
      <c r="E17" s="443">
        <v>0</v>
      </c>
      <c r="F17" s="444">
        <v>1.7000000000000001E-2</v>
      </c>
      <c r="G17" s="442">
        <v>1.4999999999999999E-2</v>
      </c>
      <c r="H17" s="445">
        <v>0</v>
      </c>
      <c r="I17" s="441">
        <v>1.2999999999999999E-2</v>
      </c>
      <c r="J17" s="443">
        <v>0</v>
      </c>
      <c r="K17" s="446">
        <v>0.10299999999999999</v>
      </c>
      <c r="L17" s="447">
        <v>0.10099999999999999</v>
      </c>
      <c r="M17" s="447">
        <v>8.5999999999999993E-2</v>
      </c>
      <c r="N17" s="447">
        <v>6.8999999999999992E-2</v>
      </c>
      <c r="O17" s="447">
        <v>0.09</v>
      </c>
      <c r="P17" s="447">
        <v>8.5999999999999993E-2</v>
      </c>
      <c r="Q17" s="447">
        <v>8.7999999999999995E-2</v>
      </c>
      <c r="R17" s="447">
        <v>8.3999999999999991E-2</v>
      </c>
      <c r="S17" s="447">
        <v>7.2999999999999995E-2</v>
      </c>
      <c r="T17" s="447">
        <v>7.0999999999999994E-2</v>
      </c>
      <c r="U17" s="447">
        <v>6.4999999999999988E-2</v>
      </c>
      <c r="V17" s="447">
        <v>7.2999999999999995E-2</v>
      </c>
      <c r="W17" s="447">
        <v>6.2999999999999987E-2</v>
      </c>
      <c r="X17" s="447">
        <v>5.1999999999999998E-2</v>
      </c>
      <c r="Y17" s="447">
        <v>5.6000000000000001E-2</v>
      </c>
      <c r="Z17" s="447">
        <v>4.9999999999999996E-2</v>
      </c>
      <c r="AA17" s="447">
        <v>4.8000000000000001E-2</v>
      </c>
      <c r="AB17" s="448">
        <v>3.4999999999999996E-2</v>
      </c>
      <c r="AC17" s="449">
        <v>8.9999999999999993E-3</v>
      </c>
      <c r="AD17" s="425"/>
      <c r="AE17" s="419" t="s">
        <v>2290</v>
      </c>
      <c r="AF17" s="450" t="s">
        <v>2285</v>
      </c>
      <c r="AH17" s="419" t="s">
        <v>2259</v>
      </c>
      <c r="AI17" s="422" t="s">
        <v>2259</v>
      </c>
      <c r="AQ17" s="419" t="s">
        <v>2290</v>
      </c>
      <c r="AR17" s="450" t="s">
        <v>2317</v>
      </c>
    </row>
    <row r="18" spans="1:44">
      <c r="A18" s="417" t="s">
        <v>2257</v>
      </c>
      <c r="B18" s="441">
        <v>5.7000000000000002E-2</v>
      </c>
      <c r="C18" s="442">
        <v>4.1000000000000002E-2</v>
      </c>
      <c r="D18" s="442">
        <v>2.3E-2</v>
      </c>
      <c r="E18" s="443">
        <v>0</v>
      </c>
      <c r="F18" s="444">
        <v>1.7000000000000001E-2</v>
      </c>
      <c r="G18" s="442">
        <v>1.4999999999999999E-2</v>
      </c>
      <c r="H18" s="445">
        <v>0</v>
      </c>
      <c r="I18" s="441">
        <v>1.2999999999999999E-2</v>
      </c>
      <c r="J18" s="443">
        <v>0</v>
      </c>
      <c r="K18" s="446">
        <v>9.6000000000000002E-2</v>
      </c>
      <c r="L18" s="447">
        <v>9.4E-2</v>
      </c>
      <c r="M18" s="447">
        <v>7.9000000000000001E-2</v>
      </c>
      <c r="N18" s="447">
        <v>6.3E-2</v>
      </c>
      <c r="O18" s="447">
        <v>8.3000000000000004E-2</v>
      </c>
      <c r="P18" s="447">
        <v>0.08</v>
      </c>
      <c r="Q18" s="447">
        <v>8.1000000000000003E-2</v>
      </c>
      <c r="R18" s="447">
        <v>7.8E-2</v>
      </c>
      <c r="S18" s="447">
        <v>6.7000000000000004E-2</v>
      </c>
      <c r="T18" s="447">
        <v>6.5000000000000002E-2</v>
      </c>
      <c r="U18" s="447">
        <v>6.2E-2</v>
      </c>
      <c r="V18" s="447">
        <v>6.6000000000000003E-2</v>
      </c>
      <c r="W18" s="447">
        <v>0.06</v>
      </c>
      <c r="X18" s="447">
        <v>4.9000000000000002E-2</v>
      </c>
      <c r="Y18" s="447">
        <v>0.05</v>
      </c>
      <c r="Z18" s="447">
        <v>4.7E-2</v>
      </c>
      <c r="AA18" s="447">
        <v>4.4999999999999998E-2</v>
      </c>
      <c r="AB18" s="448">
        <v>3.2000000000000001E-2</v>
      </c>
      <c r="AC18" s="449">
        <v>8.9999999999999993E-3</v>
      </c>
      <c r="AD18" s="425"/>
      <c r="AE18" s="419" t="s">
        <v>2291</v>
      </c>
      <c r="AF18" s="450" t="s">
        <v>2285</v>
      </c>
      <c r="AH18" s="419" t="s">
        <v>2260</v>
      </c>
      <c r="AI18" s="422" t="s">
        <v>2260</v>
      </c>
      <c r="AQ18" s="419" t="s">
        <v>2291</v>
      </c>
      <c r="AR18" s="450" t="s">
        <v>2317</v>
      </c>
    </row>
    <row r="19" spans="1:44">
      <c r="A19" s="417" t="s">
        <v>2258</v>
      </c>
      <c r="B19" s="441">
        <v>5.3999999999999999E-2</v>
      </c>
      <c r="C19" s="442">
        <v>0.04</v>
      </c>
      <c r="D19" s="442">
        <v>2.1999999999999999E-2</v>
      </c>
      <c r="E19" s="443">
        <v>0</v>
      </c>
      <c r="F19" s="444">
        <v>1.7000000000000001E-2</v>
      </c>
      <c r="G19" s="442">
        <v>1.4999999999999999E-2</v>
      </c>
      <c r="H19" s="445">
        <v>0</v>
      </c>
      <c r="I19" s="441">
        <v>1.2999999999999999E-2</v>
      </c>
      <c r="J19" s="443">
        <v>0</v>
      </c>
      <c r="K19" s="446">
        <v>9.2999999999999999E-2</v>
      </c>
      <c r="L19" s="447">
        <v>9.0999999999999998E-2</v>
      </c>
      <c r="M19" s="447">
        <v>7.5999999999999998E-2</v>
      </c>
      <c r="N19" s="447">
        <v>6.2E-2</v>
      </c>
      <c r="O19" s="447">
        <v>0.08</v>
      </c>
      <c r="P19" s="447">
        <v>7.9000000000000001E-2</v>
      </c>
      <c r="Q19" s="447">
        <v>7.8E-2</v>
      </c>
      <c r="R19" s="447">
        <v>7.6999999999999999E-2</v>
      </c>
      <c r="S19" s="447">
        <v>6.6000000000000003E-2</v>
      </c>
      <c r="T19" s="447">
        <v>6.4000000000000001E-2</v>
      </c>
      <c r="U19" s="447">
        <v>6.0999999999999999E-2</v>
      </c>
      <c r="V19" s="447">
        <v>6.3E-2</v>
      </c>
      <c r="W19" s="447">
        <v>5.8999999999999997E-2</v>
      </c>
      <c r="X19" s="447">
        <v>4.8000000000000001E-2</v>
      </c>
      <c r="Y19" s="447">
        <v>4.9000000000000002E-2</v>
      </c>
      <c r="Z19" s="447">
        <v>4.5999999999999999E-2</v>
      </c>
      <c r="AA19" s="447">
        <v>4.3999999999999997E-2</v>
      </c>
      <c r="AB19" s="448">
        <v>3.1E-2</v>
      </c>
      <c r="AC19" s="449">
        <v>8.9999999999999993E-3</v>
      </c>
      <c r="AD19" s="425"/>
      <c r="AE19" s="419" t="s">
        <v>2292</v>
      </c>
      <c r="AF19" s="450" t="s">
        <v>2285</v>
      </c>
      <c r="AH19" s="419" t="s">
        <v>2261</v>
      </c>
      <c r="AI19" s="422" t="s">
        <v>2307</v>
      </c>
      <c r="AQ19" s="419" t="s">
        <v>2292</v>
      </c>
      <c r="AR19" s="450" t="s">
        <v>2317</v>
      </c>
    </row>
    <row r="20" spans="1:44">
      <c r="A20" s="417" t="s">
        <v>2259</v>
      </c>
      <c r="B20" s="441">
        <v>6.4000000000000001E-2</v>
      </c>
      <c r="C20" s="442">
        <v>4.7E-2</v>
      </c>
      <c r="D20" s="442">
        <v>2.5999999999999999E-2</v>
      </c>
      <c r="E20" s="443">
        <v>0</v>
      </c>
      <c r="F20" s="444">
        <v>1.7000000000000001E-2</v>
      </c>
      <c r="G20" s="453" t="s">
        <v>2248</v>
      </c>
      <c r="H20" s="445">
        <v>0</v>
      </c>
      <c r="I20" s="441">
        <v>1.2999999999999999E-2</v>
      </c>
      <c r="J20" s="443">
        <v>0</v>
      </c>
      <c r="K20" s="446">
        <v>0.10299999999999999</v>
      </c>
      <c r="L20" s="453" t="s">
        <v>2248</v>
      </c>
      <c r="M20" s="447">
        <v>8.5999999999999993E-2</v>
      </c>
      <c r="N20" s="447">
        <v>6.8999999999999992E-2</v>
      </c>
      <c r="O20" s="447">
        <v>0.09</v>
      </c>
      <c r="P20" s="447">
        <v>8.5999999999999993E-2</v>
      </c>
      <c r="Q20" s="453" t="s">
        <v>2248</v>
      </c>
      <c r="R20" s="453" t="s">
        <v>2248</v>
      </c>
      <c r="S20" s="447">
        <v>7.2999999999999995E-2</v>
      </c>
      <c r="T20" s="453" t="s">
        <v>2248</v>
      </c>
      <c r="U20" s="447">
        <v>6.4999999999999988E-2</v>
      </c>
      <c r="V20" s="447">
        <v>7.2999999999999995E-2</v>
      </c>
      <c r="W20" s="453" t="s">
        <v>2248</v>
      </c>
      <c r="X20" s="447">
        <v>5.1999999999999998E-2</v>
      </c>
      <c r="Y20" s="447">
        <v>5.6000000000000001E-2</v>
      </c>
      <c r="Z20" s="453" t="s">
        <v>2248</v>
      </c>
      <c r="AA20" s="447">
        <v>4.8000000000000001E-2</v>
      </c>
      <c r="AB20" s="448">
        <v>3.4999999999999996E-2</v>
      </c>
      <c r="AC20" s="449">
        <v>8.9999999999999993E-3</v>
      </c>
      <c r="AD20" s="425"/>
      <c r="AE20" s="419" t="s">
        <v>2259</v>
      </c>
      <c r="AF20" s="450" t="s">
        <v>2283</v>
      </c>
      <c r="AH20" s="419" t="s">
        <v>2262</v>
      </c>
      <c r="AI20" s="422" t="s">
        <v>2308</v>
      </c>
      <c r="AQ20" s="419" t="s">
        <v>2259</v>
      </c>
      <c r="AR20" s="450" t="s">
        <v>2373</v>
      </c>
    </row>
    <row r="21" spans="1:44">
      <c r="A21" s="417" t="s">
        <v>2260</v>
      </c>
      <c r="B21" s="441">
        <v>6.4000000000000001E-2</v>
      </c>
      <c r="C21" s="442">
        <v>4.7E-2</v>
      </c>
      <c r="D21" s="442">
        <v>2.5999999999999999E-2</v>
      </c>
      <c r="E21" s="443">
        <v>0</v>
      </c>
      <c r="F21" s="444">
        <v>1.7000000000000001E-2</v>
      </c>
      <c r="G21" s="442">
        <v>1.4999999999999999E-2</v>
      </c>
      <c r="H21" s="445">
        <v>0</v>
      </c>
      <c r="I21" s="441">
        <v>1.2999999999999999E-2</v>
      </c>
      <c r="J21" s="443">
        <v>0</v>
      </c>
      <c r="K21" s="446">
        <v>0.10299999999999999</v>
      </c>
      <c r="L21" s="447">
        <v>0.10099999999999999</v>
      </c>
      <c r="M21" s="447">
        <v>8.5999999999999993E-2</v>
      </c>
      <c r="N21" s="447">
        <v>6.8999999999999992E-2</v>
      </c>
      <c r="O21" s="447">
        <v>0.09</v>
      </c>
      <c r="P21" s="447">
        <v>8.5999999999999993E-2</v>
      </c>
      <c r="Q21" s="447">
        <v>8.7999999999999995E-2</v>
      </c>
      <c r="R21" s="447">
        <v>8.3999999999999991E-2</v>
      </c>
      <c r="S21" s="447">
        <v>7.2999999999999995E-2</v>
      </c>
      <c r="T21" s="447">
        <v>7.0999999999999994E-2</v>
      </c>
      <c r="U21" s="447">
        <v>6.4999999999999988E-2</v>
      </c>
      <c r="V21" s="447">
        <v>7.2999999999999995E-2</v>
      </c>
      <c r="W21" s="447">
        <v>6.2999999999999987E-2</v>
      </c>
      <c r="X21" s="447">
        <v>5.1999999999999998E-2</v>
      </c>
      <c r="Y21" s="447">
        <v>5.6000000000000001E-2</v>
      </c>
      <c r="Z21" s="447">
        <v>4.9999999999999996E-2</v>
      </c>
      <c r="AA21" s="447">
        <v>4.8000000000000001E-2</v>
      </c>
      <c r="AB21" s="448">
        <v>3.4999999999999996E-2</v>
      </c>
      <c r="AC21" s="449">
        <v>8.9999999999999993E-3</v>
      </c>
      <c r="AD21" s="425"/>
      <c r="AE21" s="419" t="s">
        <v>2260</v>
      </c>
      <c r="AF21" s="450" t="s">
        <v>2285</v>
      </c>
      <c r="AH21" s="419" t="s">
        <v>2263</v>
      </c>
      <c r="AI21" s="422" t="s">
        <v>2309</v>
      </c>
      <c r="AQ21" s="419" t="s">
        <v>2260</v>
      </c>
      <c r="AR21" s="450" t="s">
        <v>2317</v>
      </c>
    </row>
    <row r="22" spans="1:44">
      <c r="A22" s="417" t="s">
        <v>2261</v>
      </c>
      <c r="B22" s="441">
        <v>8.5999999999999993E-2</v>
      </c>
      <c r="C22" s="442">
        <v>6.3E-2</v>
      </c>
      <c r="D22" s="442">
        <v>3.5000000000000003E-2</v>
      </c>
      <c r="E22" s="443">
        <v>0</v>
      </c>
      <c r="F22" s="444">
        <v>1.9E-2</v>
      </c>
      <c r="G22" s="442">
        <v>1.6E-2</v>
      </c>
      <c r="H22" s="445">
        <v>0</v>
      </c>
      <c r="I22" s="441">
        <v>2.5999999999999999E-2</v>
      </c>
      <c r="J22" s="443">
        <v>0</v>
      </c>
      <c r="K22" s="446">
        <v>0.14700000000000002</v>
      </c>
      <c r="L22" s="447">
        <v>0.14400000000000002</v>
      </c>
      <c r="M22" s="447">
        <v>0.128</v>
      </c>
      <c r="N22" s="447">
        <v>0.105</v>
      </c>
      <c r="O22" s="447">
        <v>0.121</v>
      </c>
      <c r="P22" s="447">
        <v>0.124</v>
      </c>
      <c r="Q22" s="447">
        <v>0.11799999999999999</v>
      </c>
      <c r="R22" s="447">
        <v>0.121</v>
      </c>
      <c r="S22" s="447">
        <v>9.8000000000000004E-2</v>
      </c>
      <c r="T22" s="447">
        <v>9.5000000000000001E-2</v>
      </c>
      <c r="U22" s="447">
        <v>9.6000000000000002E-2</v>
      </c>
      <c r="V22" s="447">
        <v>0.10199999999999999</v>
      </c>
      <c r="W22" s="447">
        <v>9.2999999999999999E-2</v>
      </c>
      <c r="X22" s="447">
        <v>7.0000000000000007E-2</v>
      </c>
      <c r="Y22" s="447">
        <v>7.9000000000000001E-2</v>
      </c>
      <c r="Z22" s="447">
        <v>6.7000000000000004E-2</v>
      </c>
      <c r="AA22" s="447">
        <v>7.6999999999999999E-2</v>
      </c>
      <c r="AB22" s="448">
        <v>5.1000000000000004E-2</v>
      </c>
      <c r="AC22" s="449">
        <v>1.6E-2</v>
      </c>
      <c r="AD22" s="425"/>
      <c r="AE22" s="419" t="s">
        <v>2261</v>
      </c>
      <c r="AF22" s="455" t="s">
        <v>2285</v>
      </c>
      <c r="AH22" s="419" t="s">
        <v>2264</v>
      </c>
      <c r="AI22" s="422" t="s">
        <v>2264</v>
      </c>
      <c r="AQ22" s="419" t="s">
        <v>2261</v>
      </c>
      <c r="AR22" s="450" t="s">
        <v>2317</v>
      </c>
    </row>
    <row r="23" spans="1:44">
      <c r="A23" s="417" t="s">
        <v>2262</v>
      </c>
      <c r="B23" s="441">
        <v>8.5999999999999993E-2</v>
      </c>
      <c r="C23" s="442">
        <v>6.3E-2</v>
      </c>
      <c r="D23" s="442">
        <v>3.5000000000000003E-2</v>
      </c>
      <c r="E23" s="443">
        <v>0</v>
      </c>
      <c r="F23" s="444">
        <v>1.9E-2</v>
      </c>
      <c r="G23" s="442">
        <v>1.6E-2</v>
      </c>
      <c r="H23" s="445">
        <v>0</v>
      </c>
      <c r="I23" s="441">
        <v>2.5999999999999999E-2</v>
      </c>
      <c r="J23" s="443">
        <v>0</v>
      </c>
      <c r="K23" s="446">
        <v>0.14700000000000002</v>
      </c>
      <c r="L23" s="447">
        <v>0.14400000000000002</v>
      </c>
      <c r="M23" s="447">
        <v>0.128</v>
      </c>
      <c r="N23" s="447">
        <v>0.105</v>
      </c>
      <c r="O23" s="447">
        <v>0.121</v>
      </c>
      <c r="P23" s="447">
        <v>0.124</v>
      </c>
      <c r="Q23" s="447">
        <v>0.11799999999999999</v>
      </c>
      <c r="R23" s="447">
        <v>0.121</v>
      </c>
      <c r="S23" s="447">
        <v>9.8000000000000004E-2</v>
      </c>
      <c r="T23" s="447">
        <v>9.5000000000000001E-2</v>
      </c>
      <c r="U23" s="447">
        <v>9.6000000000000002E-2</v>
      </c>
      <c r="V23" s="447">
        <v>0.10199999999999999</v>
      </c>
      <c r="W23" s="447">
        <v>9.2999999999999999E-2</v>
      </c>
      <c r="X23" s="447">
        <v>7.0000000000000007E-2</v>
      </c>
      <c r="Y23" s="447">
        <v>7.9000000000000001E-2</v>
      </c>
      <c r="Z23" s="447">
        <v>6.7000000000000004E-2</v>
      </c>
      <c r="AA23" s="447">
        <v>7.6999999999999999E-2</v>
      </c>
      <c r="AB23" s="448">
        <v>5.1000000000000004E-2</v>
      </c>
      <c r="AC23" s="449">
        <v>1.6E-2</v>
      </c>
      <c r="AD23" s="425"/>
      <c r="AE23" s="419" t="s">
        <v>2262</v>
      </c>
      <c r="AF23" s="456" t="s">
        <v>2285</v>
      </c>
      <c r="AH23" s="419" t="s">
        <v>2265</v>
      </c>
      <c r="AI23" s="422" t="s">
        <v>2265</v>
      </c>
      <c r="AQ23" s="419" t="s">
        <v>2262</v>
      </c>
      <c r="AR23" s="450" t="s">
        <v>2317</v>
      </c>
    </row>
    <row r="24" spans="1:44">
      <c r="A24" s="417" t="s">
        <v>2263</v>
      </c>
      <c r="B24" s="441">
        <v>0.15</v>
      </c>
      <c r="C24" s="442">
        <v>0.11</v>
      </c>
      <c r="D24" s="442">
        <v>6.0999999999999999E-2</v>
      </c>
      <c r="E24" s="443">
        <v>0</v>
      </c>
      <c r="F24" s="444">
        <v>1.9E-2</v>
      </c>
      <c r="G24" s="442">
        <v>1.6E-2</v>
      </c>
      <c r="H24" s="445">
        <v>0</v>
      </c>
      <c r="I24" s="441">
        <v>2.5999999999999999E-2</v>
      </c>
      <c r="J24" s="443">
        <v>0</v>
      </c>
      <c r="K24" s="446">
        <v>0.21099999999999997</v>
      </c>
      <c r="L24" s="447">
        <v>0.20799999999999996</v>
      </c>
      <c r="M24" s="447">
        <v>0.192</v>
      </c>
      <c r="N24" s="447">
        <v>0.15200000000000002</v>
      </c>
      <c r="O24" s="447">
        <v>0.185</v>
      </c>
      <c r="P24" s="447">
        <v>0.17099999999999999</v>
      </c>
      <c r="Q24" s="447">
        <v>0.182</v>
      </c>
      <c r="R24" s="447">
        <v>0.16799999999999998</v>
      </c>
      <c r="S24" s="447">
        <v>0.14500000000000002</v>
      </c>
      <c r="T24" s="447">
        <v>0.14200000000000002</v>
      </c>
      <c r="U24" s="447">
        <v>0.122</v>
      </c>
      <c r="V24" s="447">
        <v>0.16599999999999998</v>
      </c>
      <c r="W24" s="447">
        <v>0.11899999999999999</v>
      </c>
      <c r="X24" s="447">
        <v>9.6000000000000002E-2</v>
      </c>
      <c r="Y24" s="447">
        <v>0.126</v>
      </c>
      <c r="Z24" s="447">
        <v>9.2999999999999999E-2</v>
      </c>
      <c r="AA24" s="447">
        <v>0.10299999999999999</v>
      </c>
      <c r="AB24" s="448">
        <v>7.6999999999999999E-2</v>
      </c>
      <c r="AC24" s="449">
        <v>1.6E-2</v>
      </c>
      <c r="AD24" s="425"/>
      <c r="AE24" s="419" t="s">
        <v>2263</v>
      </c>
      <c r="AF24" s="457" t="s">
        <v>2285</v>
      </c>
      <c r="AH24" s="419" t="s">
        <v>2266</v>
      </c>
      <c r="AI24" s="422" t="s">
        <v>2266</v>
      </c>
      <c r="AQ24" s="419" t="s">
        <v>2263</v>
      </c>
      <c r="AR24" s="450" t="s">
        <v>2317</v>
      </c>
    </row>
    <row r="25" spans="1:44">
      <c r="A25" s="417" t="s">
        <v>2264</v>
      </c>
      <c r="B25" s="441">
        <v>8.1000000000000003E-2</v>
      </c>
      <c r="C25" s="442">
        <v>5.8999999999999997E-2</v>
      </c>
      <c r="D25" s="442">
        <v>3.3000000000000002E-2</v>
      </c>
      <c r="E25" s="443">
        <v>0</v>
      </c>
      <c r="F25" s="444">
        <v>1.2999999999999999E-2</v>
      </c>
      <c r="G25" s="442">
        <v>0.01</v>
      </c>
      <c r="H25" s="445">
        <v>0</v>
      </c>
      <c r="I25" s="441">
        <v>0.02</v>
      </c>
      <c r="J25" s="443">
        <v>0</v>
      </c>
      <c r="K25" s="446">
        <v>0.13100000000000001</v>
      </c>
      <c r="L25" s="447">
        <v>0.128</v>
      </c>
      <c r="M25" s="447">
        <v>0.11800000000000001</v>
      </c>
      <c r="N25" s="447">
        <v>9.6000000000000002E-2</v>
      </c>
      <c r="O25" s="447">
        <v>0.111</v>
      </c>
      <c r="P25" s="447">
        <v>0.109</v>
      </c>
      <c r="Q25" s="447">
        <v>0.108</v>
      </c>
      <c r="R25" s="447">
        <v>0.106</v>
      </c>
      <c r="S25" s="447">
        <v>8.8999999999999996E-2</v>
      </c>
      <c r="T25" s="447">
        <v>8.5999999999999993E-2</v>
      </c>
      <c r="U25" s="447">
        <v>8.3000000000000004E-2</v>
      </c>
      <c r="V25" s="447">
        <v>9.8000000000000004E-2</v>
      </c>
      <c r="W25" s="447">
        <v>0.08</v>
      </c>
      <c r="X25" s="447">
        <v>6.3E-2</v>
      </c>
      <c r="Y25" s="447">
        <v>7.5999999999999998E-2</v>
      </c>
      <c r="Z25" s="447">
        <v>6.0000000000000005E-2</v>
      </c>
      <c r="AA25" s="447">
        <v>7.0000000000000007E-2</v>
      </c>
      <c r="AB25" s="448">
        <v>0.05</v>
      </c>
      <c r="AC25" s="449">
        <v>1.7000000000000001E-2</v>
      </c>
      <c r="AD25" s="425"/>
      <c r="AE25" s="419" t="s">
        <v>2293</v>
      </c>
      <c r="AF25" s="457" t="s">
        <v>2285</v>
      </c>
      <c r="AH25" s="419" t="s">
        <v>2267</v>
      </c>
      <c r="AI25" s="422" t="s">
        <v>2267</v>
      </c>
      <c r="AQ25" s="419" t="s">
        <v>2293</v>
      </c>
      <c r="AR25" s="450" t="s">
        <v>2317</v>
      </c>
    </row>
    <row r="26" spans="1:44">
      <c r="A26" s="417" t="s">
        <v>2265</v>
      </c>
      <c r="B26" s="441">
        <v>0.126</v>
      </c>
      <c r="C26" s="442">
        <v>9.1999999999999998E-2</v>
      </c>
      <c r="D26" s="442">
        <v>5.0999999999999997E-2</v>
      </c>
      <c r="E26" s="443">
        <v>0</v>
      </c>
      <c r="F26" s="444">
        <v>1.2999999999999999E-2</v>
      </c>
      <c r="G26" s="442">
        <v>0.01</v>
      </c>
      <c r="H26" s="445">
        <v>0</v>
      </c>
      <c r="I26" s="441">
        <v>0.02</v>
      </c>
      <c r="J26" s="443">
        <v>0</v>
      </c>
      <c r="K26" s="446">
        <v>0.17599999999999999</v>
      </c>
      <c r="L26" s="447">
        <v>0.17299999999999999</v>
      </c>
      <c r="M26" s="447">
        <v>0.16299999999999998</v>
      </c>
      <c r="N26" s="447">
        <v>0.129</v>
      </c>
      <c r="O26" s="447">
        <v>0.15600000000000003</v>
      </c>
      <c r="P26" s="447">
        <v>0.14200000000000002</v>
      </c>
      <c r="Q26" s="447">
        <v>0.15300000000000002</v>
      </c>
      <c r="R26" s="447">
        <v>0.13900000000000001</v>
      </c>
      <c r="S26" s="447">
        <v>0.122</v>
      </c>
      <c r="T26" s="447">
        <v>0.11899999999999999</v>
      </c>
      <c r="U26" s="447">
        <v>0.10100000000000001</v>
      </c>
      <c r="V26" s="447">
        <v>0.14300000000000002</v>
      </c>
      <c r="W26" s="447">
        <v>9.8000000000000004E-2</v>
      </c>
      <c r="X26" s="447">
        <v>8.1000000000000003E-2</v>
      </c>
      <c r="Y26" s="447">
        <v>0.109</v>
      </c>
      <c r="Z26" s="447">
        <v>7.8E-2</v>
      </c>
      <c r="AA26" s="447">
        <v>8.7999999999999995E-2</v>
      </c>
      <c r="AB26" s="448">
        <v>6.8000000000000005E-2</v>
      </c>
      <c r="AC26" s="449">
        <v>1.7000000000000001E-2</v>
      </c>
      <c r="AD26" s="425"/>
      <c r="AE26" s="419" t="s">
        <v>2294</v>
      </c>
      <c r="AF26" s="457" t="s">
        <v>2285</v>
      </c>
      <c r="AH26" s="419" t="s">
        <v>2268</v>
      </c>
      <c r="AI26" s="422" t="s">
        <v>2268</v>
      </c>
      <c r="AQ26" s="419" t="s">
        <v>2294</v>
      </c>
      <c r="AR26" s="450" t="s">
        <v>2317</v>
      </c>
    </row>
    <row r="27" spans="1:44">
      <c r="A27" s="417" t="s">
        <v>2266</v>
      </c>
      <c r="B27" s="441">
        <v>8.4000000000000005E-2</v>
      </c>
      <c r="C27" s="442">
        <v>6.0999999999999999E-2</v>
      </c>
      <c r="D27" s="442">
        <v>3.4000000000000002E-2</v>
      </c>
      <c r="E27" s="443">
        <v>0</v>
      </c>
      <c r="F27" s="444">
        <v>1.2999999999999999E-2</v>
      </c>
      <c r="G27" s="442">
        <v>0.01</v>
      </c>
      <c r="H27" s="445">
        <v>0</v>
      </c>
      <c r="I27" s="441">
        <v>0.02</v>
      </c>
      <c r="J27" s="443">
        <v>0</v>
      </c>
      <c r="K27" s="446">
        <v>0.13400000000000001</v>
      </c>
      <c r="L27" s="447">
        <v>0.13100000000000001</v>
      </c>
      <c r="M27" s="447">
        <v>0.12100000000000001</v>
      </c>
      <c r="N27" s="447">
        <v>9.8000000000000004E-2</v>
      </c>
      <c r="O27" s="447">
        <v>0.114</v>
      </c>
      <c r="P27" s="447">
        <v>0.111</v>
      </c>
      <c r="Q27" s="447">
        <v>0.111</v>
      </c>
      <c r="R27" s="447">
        <v>0.108</v>
      </c>
      <c r="S27" s="447">
        <v>9.0999999999999998E-2</v>
      </c>
      <c r="T27" s="447">
        <v>8.7999999999999995E-2</v>
      </c>
      <c r="U27" s="447">
        <v>8.4000000000000005E-2</v>
      </c>
      <c r="V27" s="447">
        <v>0.10100000000000001</v>
      </c>
      <c r="W27" s="447">
        <v>8.1000000000000003E-2</v>
      </c>
      <c r="X27" s="447">
        <v>6.4000000000000001E-2</v>
      </c>
      <c r="Y27" s="447">
        <v>7.8E-2</v>
      </c>
      <c r="Z27" s="447">
        <v>6.1000000000000006E-2</v>
      </c>
      <c r="AA27" s="447">
        <v>7.1000000000000008E-2</v>
      </c>
      <c r="AB27" s="448">
        <v>5.1000000000000004E-2</v>
      </c>
      <c r="AC27" s="449">
        <v>1.7000000000000001E-2</v>
      </c>
      <c r="AD27" s="425"/>
      <c r="AE27" s="419" t="s">
        <v>2295</v>
      </c>
      <c r="AF27" s="458" t="s">
        <v>2285</v>
      </c>
      <c r="AH27" s="419" t="s">
        <v>2269</v>
      </c>
      <c r="AI27" s="422" t="s">
        <v>2269</v>
      </c>
      <c r="AQ27" s="419" t="s">
        <v>2295</v>
      </c>
      <c r="AR27" s="450" t="s">
        <v>2317</v>
      </c>
    </row>
    <row r="28" spans="1:44" ht="14.25" thickBot="1">
      <c r="A28" s="417" t="s">
        <v>2267</v>
      </c>
      <c r="B28" s="459">
        <v>8.1000000000000003E-2</v>
      </c>
      <c r="C28" s="460">
        <v>5.8999999999999997E-2</v>
      </c>
      <c r="D28" s="460">
        <v>3.3000000000000002E-2</v>
      </c>
      <c r="E28" s="443">
        <v>0</v>
      </c>
      <c r="F28" s="461">
        <v>1.0999999999999999E-2</v>
      </c>
      <c r="G28" s="453" t="s">
        <v>2248</v>
      </c>
      <c r="H28" s="445">
        <v>0</v>
      </c>
      <c r="I28" s="459">
        <v>0.02</v>
      </c>
      <c r="J28" s="443">
        <v>0</v>
      </c>
      <c r="K28" s="462">
        <v>0.129</v>
      </c>
      <c r="L28" s="453" t="s">
        <v>2248</v>
      </c>
      <c r="M28" s="463">
        <v>0.11800000000000001</v>
      </c>
      <c r="N28" s="463">
        <v>9.6000000000000002E-2</v>
      </c>
      <c r="O28" s="463">
        <v>0.109</v>
      </c>
      <c r="P28" s="463">
        <v>0.107</v>
      </c>
      <c r="Q28" s="453" t="s">
        <v>2248</v>
      </c>
      <c r="R28" s="453" t="s">
        <v>2248</v>
      </c>
      <c r="S28" s="463">
        <v>8.6999999999999994E-2</v>
      </c>
      <c r="T28" s="453" t="s">
        <v>2248</v>
      </c>
      <c r="U28" s="463">
        <v>8.1000000000000003E-2</v>
      </c>
      <c r="V28" s="463">
        <v>9.8000000000000004E-2</v>
      </c>
      <c r="W28" s="453" t="s">
        <v>2248</v>
      </c>
      <c r="X28" s="463">
        <v>6.0999999999999999E-2</v>
      </c>
      <c r="Y28" s="463">
        <v>7.5999999999999998E-2</v>
      </c>
      <c r="Z28" s="453" t="s">
        <v>2248</v>
      </c>
      <c r="AA28" s="463">
        <v>7.0000000000000007E-2</v>
      </c>
      <c r="AB28" s="464">
        <v>0.05</v>
      </c>
      <c r="AC28" s="449">
        <v>1.7000000000000001E-2</v>
      </c>
      <c r="AD28" s="425"/>
      <c r="AE28" s="419" t="s">
        <v>2296</v>
      </c>
      <c r="AF28" s="450" t="s">
        <v>2283</v>
      </c>
      <c r="AH28" s="465" t="s">
        <v>2270</v>
      </c>
      <c r="AI28" s="466" t="s">
        <v>2270</v>
      </c>
      <c r="AQ28" s="419" t="s">
        <v>2296</v>
      </c>
      <c r="AR28" s="450" t="s">
        <v>2373</v>
      </c>
    </row>
    <row r="29" spans="1:44" ht="18.75" customHeight="1" thickTop="1">
      <c r="A29" s="417" t="s">
        <v>2268</v>
      </c>
      <c r="B29" s="459">
        <v>8.1000000000000003E-2</v>
      </c>
      <c r="C29" s="460">
        <v>5.8999999999999997E-2</v>
      </c>
      <c r="D29" s="460">
        <v>3.3000000000000002E-2</v>
      </c>
      <c r="E29" s="443">
        <v>0</v>
      </c>
      <c r="F29" s="461">
        <v>1.0999999999999999E-2</v>
      </c>
      <c r="G29" s="453" t="s">
        <v>2248</v>
      </c>
      <c r="H29" s="445">
        <v>0</v>
      </c>
      <c r="I29" s="459">
        <v>0.02</v>
      </c>
      <c r="J29" s="443">
        <v>0</v>
      </c>
      <c r="K29" s="462">
        <v>0.129</v>
      </c>
      <c r="L29" s="453" t="s">
        <v>2248</v>
      </c>
      <c r="M29" s="463">
        <v>0.11800000000000001</v>
      </c>
      <c r="N29" s="463">
        <v>9.6000000000000002E-2</v>
      </c>
      <c r="O29" s="463">
        <v>0.109</v>
      </c>
      <c r="P29" s="463">
        <v>0.107</v>
      </c>
      <c r="Q29" s="453" t="s">
        <v>2248</v>
      </c>
      <c r="R29" s="453" t="s">
        <v>2248</v>
      </c>
      <c r="S29" s="463">
        <v>8.6999999999999994E-2</v>
      </c>
      <c r="T29" s="453" t="s">
        <v>2248</v>
      </c>
      <c r="U29" s="463">
        <v>8.1000000000000003E-2</v>
      </c>
      <c r="V29" s="463">
        <v>9.8000000000000004E-2</v>
      </c>
      <c r="W29" s="453" t="s">
        <v>2248</v>
      </c>
      <c r="X29" s="463">
        <v>6.0999999999999999E-2</v>
      </c>
      <c r="Y29" s="463">
        <v>7.5999999999999998E-2</v>
      </c>
      <c r="Z29" s="453" t="s">
        <v>2248</v>
      </c>
      <c r="AA29" s="463">
        <v>7.0000000000000007E-2</v>
      </c>
      <c r="AB29" s="464">
        <v>0.05</v>
      </c>
      <c r="AC29" s="449">
        <v>1.7000000000000001E-2</v>
      </c>
      <c r="AD29" s="425"/>
      <c r="AE29" s="419" t="s">
        <v>2297</v>
      </c>
      <c r="AF29" s="450" t="s">
        <v>2283</v>
      </c>
      <c r="AH29" s="467" t="s">
        <v>2271</v>
      </c>
      <c r="AI29" s="468" t="s">
        <v>2310</v>
      </c>
      <c r="AQ29" s="419" t="s">
        <v>2297</v>
      </c>
      <c r="AR29" s="450" t="s">
        <v>2373</v>
      </c>
    </row>
    <row r="30" spans="1:44" ht="18.75" customHeight="1">
      <c r="A30" s="417" t="s">
        <v>2269</v>
      </c>
      <c r="B30" s="459">
        <v>9.9000000000000005E-2</v>
      </c>
      <c r="C30" s="460">
        <v>7.1999999999999995E-2</v>
      </c>
      <c r="D30" s="460">
        <v>0.04</v>
      </c>
      <c r="E30" s="443">
        <v>0</v>
      </c>
      <c r="F30" s="461">
        <v>4.2999999999999997E-2</v>
      </c>
      <c r="G30" s="460">
        <v>3.9E-2</v>
      </c>
      <c r="H30" s="445">
        <v>0</v>
      </c>
      <c r="I30" s="459">
        <v>3.7999999999999999E-2</v>
      </c>
      <c r="J30" s="443">
        <v>0</v>
      </c>
      <c r="K30" s="462">
        <v>0.21100000000000002</v>
      </c>
      <c r="L30" s="463">
        <v>0.20700000000000002</v>
      </c>
      <c r="M30" s="463">
        <v>0.16800000000000001</v>
      </c>
      <c r="N30" s="463">
        <v>0.14099999999999999</v>
      </c>
      <c r="O30" s="463">
        <v>0.17300000000000001</v>
      </c>
      <c r="P30" s="463">
        <v>0.184</v>
      </c>
      <c r="Q30" s="463">
        <v>0.16900000000000001</v>
      </c>
      <c r="R30" s="463">
        <v>0.18</v>
      </c>
      <c r="S30" s="463">
        <v>0.14599999999999999</v>
      </c>
      <c r="T30" s="463">
        <v>0.14199999999999999</v>
      </c>
      <c r="U30" s="463">
        <v>0.152</v>
      </c>
      <c r="V30" s="463">
        <v>0.13</v>
      </c>
      <c r="W30" s="463">
        <v>0.14799999999999999</v>
      </c>
      <c r="X30" s="463">
        <v>0.11399999999999999</v>
      </c>
      <c r="Y30" s="463">
        <v>0.10299999999999999</v>
      </c>
      <c r="Z30" s="463">
        <v>0.11</v>
      </c>
      <c r="AA30" s="463">
        <v>0.109</v>
      </c>
      <c r="AB30" s="464">
        <v>7.1000000000000008E-2</v>
      </c>
      <c r="AC30" s="449">
        <v>3.1E-2</v>
      </c>
      <c r="AD30" s="425"/>
      <c r="AE30" s="419" t="s">
        <v>2298</v>
      </c>
      <c r="AF30" s="458" t="s">
        <v>2285</v>
      </c>
      <c r="AH30" s="419" t="s">
        <v>2300</v>
      </c>
      <c r="AI30" s="422" t="s">
        <v>2311</v>
      </c>
      <c r="AQ30" s="419" t="s">
        <v>2298</v>
      </c>
      <c r="AR30" s="458" t="s">
        <v>2317</v>
      </c>
    </row>
    <row r="31" spans="1:44" ht="14.25" thickBot="1">
      <c r="A31" s="418" t="s">
        <v>2270</v>
      </c>
      <c r="B31" s="469">
        <v>7.9000000000000001E-2</v>
      </c>
      <c r="C31" s="470">
        <v>5.8000000000000003E-2</v>
      </c>
      <c r="D31" s="470">
        <v>3.2000000000000001E-2</v>
      </c>
      <c r="E31" s="471">
        <v>0</v>
      </c>
      <c r="F31" s="472">
        <v>4.2999999999999997E-2</v>
      </c>
      <c r="G31" s="470">
        <v>3.9E-2</v>
      </c>
      <c r="H31" s="473">
        <v>0</v>
      </c>
      <c r="I31" s="469">
        <v>3.7999999999999999E-2</v>
      </c>
      <c r="J31" s="471">
        <v>0</v>
      </c>
      <c r="K31" s="474">
        <v>0.191</v>
      </c>
      <c r="L31" s="475">
        <v>0.187</v>
      </c>
      <c r="M31" s="475">
        <v>0.14799999999999999</v>
      </c>
      <c r="N31" s="475">
        <v>0.127</v>
      </c>
      <c r="O31" s="475">
        <v>0.153</v>
      </c>
      <c r="P31" s="475">
        <v>0.17</v>
      </c>
      <c r="Q31" s="475">
        <v>0.14899999999999999</v>
      </c>
      <c r="R31" s="475">
        <v>0.16600000000000001</v>
      </c>
      <c r="S31" s="475">
        <v>0.13200000000000001</v>
      </c>
      <c r="T31" s="475">
        <v>0.128</v>
      </c>
      <c r="U31" s="475">
        <v>0.14399999999999999</v>
      </c>
      <c r="V31" s="475">
        <v>0.11</v>
      </c>
      <c r="W31" s="475">
        <v>0.14000000000000001</v>
      </c>
      <c r="X31" s="475">
        <v>0.106</v>
      </c>
      <c r="Y31" s="475">
        <v>8.8999999999999996E-2</v>
      </c>
      <c r="Z31" s="475">
        <v>0.10200000000000001</v>
      </c>
      <c r="AA31" s="475">
        <v>0.10100000000000001</v>
      </c>
      <c r="AB31" s="476">
        <v>6.3E-2</v>
      </c>
      <c r="AC31" s="477">
        <v>3.1E-2</v>
      </c>
      <c r="AD31" s="425"/>
      <c r="AE31" s="465" t="s">
        <v>2299</v>
      </c>
      <c r="AF31" s="478" t="s">
        <v>2285</v>
      </c>
      <c r="AH31" s="419" t="s">
        <v>2301</v>
      </c>
      <c r="AI31" s="422" t="s">
        <v>2312</v>
      </c>
      <c r="AQ31" s="465" t="s">
        <v>2299</v>
      </c>
      <c r="AR31" s="478" t="s">
        <v>2317</v>
      </c>
    </row>
    <row r="32" spans="1:44" ht="14.25" thickTop="1">
      <c r="A32" s="479" t="s">
        <v>2271</v>
      </c>
      <c r="B32" s="480">
        <v>6.1000000000000006E-2</v>
      </c>
      <c r="C32" s="481">
        <v>4.4000000000000004E-2</v>
      </c>
      <c r="D32" s="481">
        <v>2.5000000000000001E-2</v>
      </c>
      <c r="E32" s="482">
        <v>0</v>
      </c>
      <c r="F32" s="483">
        <v>1.7000000000000001E-2</v>
      </c>
      <c r="G32" s="484" t="s">
        <v>2248</v>
      </c>
      <c r="H32" s="485">
        <v>0</v>
      </c>
      <c r="I32" s="480">
        <v>1.0999999999999999E-2</v>
      </c>
      <c r="J32" s="482">
        <v>0</v>
      </c>
      <c r="K32" s="486">
        <v>0.10100000000000001</v>
      </c>
      <c r="L32" s="484" t="s">
        <v>2248</v>
      </c>
      <c r="M32" s="487">
        <v>8.4000000000000005E-2</v>
      </c>
      <c r="N32" s="487">
        <v>6.7000000000000004E-2</v>
      </c>
      <c r="O32" s="487">
        <v>9.0000000000000011E-2</v>
      </c>
      <c r="P32" s="487">
        <v>8.4000000000000005E-2</v>
      </c>
      <c r="Q32" s="484" t="s">
        <v>2248</v>
      </c>
      <c r="R32" s="484" t="s">
        <v>2248</v>
      </c>
      <c r="S32" s="487">
        <v>7.3000000000000009E-2</v>
      </c>
      <c r="T32" s="484" t="s">
        <v>2248</v>
      </c>
      <c r="U32" s="487">
        <v>6.5000000000000002E-2</v>
      </c>
      <c r="V32" s="487">
        <v>7.3000000000000009E-2</v>
      </c>
      <c r="W32" s="484" t="s">
        <v>2248</v>
      </c>
      <c r="X32" s="487">
        <v>5.4000000000000006E-2</v>
      </c>
      <c r="Y32" s="487">
        <v>5.6000000000000008E-2</v>
      </c>
      <c r="Z32" s="484" t="s">
        <v>2248</v>
      </c>
      <c r="AA32" s="487">
        <v>4.8000000000000001E-2</v>
      </c>
      <c r="AB32" s="488">
        <v>3.7000000000000005E-2</v>
      </c>
      <c r="AC32" s="489">
        <v>1.2E-2</v>
      </c>
      <c r="AD32" s="425"/>
      <c r="AE32" s="467" t="s">
        <v>2271</v>
      </c>
      <c r="AF32" s="490" t="s">
        <v>2283</v>
      </c>
      <c r="AH32" s="419" t="s">
        <v>2302</v>
      </c>
      <c r="AI32" s="422" t="s">
        <v>2313</v>
      </c>
      <c r="AQ32" s="467" t="s">
        <v>2271</v>
      </c>
      <c r="AR32" s="490" t="s">
        <v>2373</v>
      </c>
    </row>
    <row r="33" spans="1:44">
      <c r="A33" s="491" t="s">
        <v>2272</v>
      </c>
      <c r="B33" s="459">
        <v>6.8000000000000005E-2</v>
      </c>
      <c r="C33" s="460">
        <v>0.05</v>
      </c>
      <c r="D33" s="460">
        <v>2.8000000000000001E-2</v>
      </c>
      <c r="E33" s="443">
        <v>0</v>
      </c>
      <c r="F33" s="461">
        <v>2.5999999999999999E-2</v>
      </c>
      <c r="G33" s="453" t="s">
        <v>2248</v>
      </c>
      <c r="H33" s="445">
        <v>0</v>
      </c>
      <c r="I33" s="459">
        <v>1.7999999999999999E-2</v>
      </c>
      <c r="J33" s="443">
        <v>0</v>
      </c>
      <c r="K33" s="462">
        <v>0.125</v>
      </c>
      <c r="L33" s="453" t="s">
        <v>2248</v>
      </c>
      <c r="M33" s="463">
        <v>9.9000000000000005E-2</v>
      </c>
      <c r="N33" s="463">
        <v>8.1000000000000003E-2</v>
      </c>
      <c r="O33" s="463">
        <v>0.107</v>
      </c>
      <c r="P33" s="463">
        <v>0.107</v>
      </c>
      <c r="Q33" s="453" t="s">
        <v>2248</v>
      </c>
      <c r="R33" s="453" t="s">
        <v>2248</v>
      </c>
      <c r="S33" s="463">
        <v>8.8999999999999996E-2</v>
      </c>
      <c r="T33" s="453" t="s">
        <v>2248</v>
      </c>
      <c r="U33" s="463">
        <v>8.4999999999999992E-2</v>
      </c>
      <c r="V33" s="463">
        <v>8.1000000000000003E-2</v>
      </c>
      <c r="W33" s="453" t="s">
        <v>2248</v>
      </c>
      <c r="X33" s="463">
        <v>6.7000000000000004E-2</v>
      </c>
      <c r="Y33" s="463">
        <v>6.3E-2</v>
      </c>
      <c r="Z33" s="453" t="s">
        <v>2248</v>
      </c>
      <c r="AA33" s="463">
        <v>5.8999999999999997E-2</v>
      </c>
      <c r="AB33" s="464">
        <v>4.1000000000000002E-2</v>
      </c>
      <c r="AC33" s="449">
        <v>1.2999999999999999E-2</v>
      </c>
      <c r="AD33" s="425"/>
      <c r="AE33" s="419" t="s">
        <v>2300</v>
      </c>
      <c r="AF33" s="458" t="s">
        <v>2283</v>
      </c>
      <c r="AH33" s="419" t="s">
        <v>2303</v>
      </c>
      <c r="AI33" s="422" t="s">
        <v>2314</v>
      </c>
      <c r="AQ33" s="419" t="s">
        <v>2300</v>
      </c>
      <c r="AR33" s="450" t="s">
        <v>2373</v>
      </c>
    </row>
    <row r="34" spans="1:44" ht="14.25" thickBot="1">
      <c r="A34" s="491" t="s">
        <v>2273</v>
      </c>
      <c r="B34" s="459">
        <v>6.8000000000000005E-2</v>
      </c>
      <c r="C34" s="460">
        <v>0.05</v>
      </c>
      <c r="D34" s="460">
        <v>2.8000000000000001E-2</v>
      </c>
      <c r="E34" s="443">
        <v>0</v>
      </c>
      <c r="F34" s="461">
        <v>2.5999999999999999E-2</v>
      </c>
      <c r="G34" s="453" t="s">
        <v>2248</v>
      </c>
      <c r="H34" s="445">
        <v>0</v>
      </c>
      <c r="I34" s="459">
        <v>1.7999999999999999E-2</v>
      </c>
      <c r="J34" s="443">
        <v>0</v>
      </c>
      <c r="K34" s="462">
        <v>0.125</v>
      </c>
      <c r="L34" s="453" t="s">
        <v>2248</v>
      </c>
      <c r="M34" s="463">
        <v>9.9000000000000005E-2</v>
      </c>
      <c r="N34" s="463">
        <v>8.1000000000000003E-2</v>
      </c>
      <c r="O34" s="463">
        <v>0.107</v>
      </c>
      <c r="P34" s="463">
        <v>0.107</v>
      </c>
      <c r="Q34" s="453" t="s">
        <v>2248</v>
      </c>
      <c r="R34" s="453" t="s">
        <v>2248</v>
      </c>
      <c r="S34" s="463">
        <v>8.8999999999999996E-2</v>
      </c>
      <c r="T34" s="453" t="s">
        <v>2248</v>
      </c>
      <c r="U34" s="463">
        <v>8.4999999999999992E-2</v>
      </c>
      <c r="V34" s="463">
        <v>8.1000000000000003E-2</v>
      </c>
      <c r="W34" s="453" t="s">
        <v>2248</v>
      </c>
      <c r="X34" s="463">
        <v>6.7000000000000004E-2</v>
      </c>
      <c r="Y34" s="463">
        <v>6.3E-2</v>
      </c>
      <c r="Z34" s="453" t="s">
        <v>2248</v>
      </c>
      <c r="AA34" s="463">
        <v>5.8999999999999997E-2</v>
      </c>
      <c r="AB34" s="464">
        <v>4.1000000000000002E-2</v>
      </c>
      <c r="AC34" s="449">
        <v>1.2999999999999999E-2</v>
      </c>
      <c r="AD34" s="425"/>
      <c r="AE34" s="419" t="s">
        <v>2301</v>
      </c>
      <c r="AF34" s="458" t="s">
        <v>2283</v>
      </c>
      <c r="AH34" s="492" t="s">
        <v>2304</v>
      </c>
      <c r="AI34" s="493" t="s">
        <v>2315</v>
      </c>
      <c r="AQ34" s="419" t="s">
        <v>2301</v>
      </c>
      <c r="AR34" s="450" t="s">
        <v>2373</v>
      </c>
    </row>
    <row r="35" spans="1:44">
      <c r="A35" s="491" t="s">
        <v>2274</v>
      </c>
      <c r="B35" s="459">
        <v>6.7000000000000004E-2</v>
      </c>
      <c r="C35" s="460">
        <v>4.9000000000000002E-2</v>
      </c>
      <c r="D35" s="460">
        <v>2.7E-2</v>
      </c>
      <c r="E35" s="443">
        <v>0</v>
      </c>
      <c r="F35" s="461">
        <v>1.7999999999999999E-2</v>
      </c>
      <c r="G35" s="453" t="s">
        <v>2248</v>
      </c>
      <c r="H35" s="445">
        <v>0</v>
      </c>
      <c r="I35" s="459">
        <v>1.2999999999999999E-2</v>
      </c>
      <c r="J35" s="443">
        <v>0</v>
      </c>
      <c r="K35" s="462">
        <v>0.107</v>
      </c>
      <c r="L35" s="453" t="s">
        <v>2248</v>
      </c>
      <c r="M35" s="463">
        <v>8.8999999999999996E-2</v>
      </c>
      <c r="N35" s="463">
        <v>7.0999999999999994E-2</v>
      </c>
      <c r="O35" s="463">
        <v>9.4E-2</v>
      </c>
      <c r="P35" s="463">
        <v>8.8999999999999996E-2</v>
      </c>
      <c r="Q35" s="453" t="s">
        <v>2248</v>
      </c>
      <c r="R35" s="453" t="s">
        <v>2248</v>
      </c>
      <c r="S35" s="463">
        <v>7.5999999999999998E-2</v>
      </c>
      <c r="T35" s="453" t="s">
        <v>2248</v>
      </c>
      <c r="U35" s="463">
        <v>6.699999999999999E-2</v>
      </c>
      <c r="V35" s="463">
        <v>7.5999999999999998E-2</v>
      </c>
      <c r="W35" s="453" t="s">
        <v>2248</v>
      </c>
      <c r="X35" s="463">
        <v>5.3999999999999999E-2</v>
      </c>
      <c r="Y35" s="463">
        <v>5.8000000000000003E-2</v>
      </c>
      <c r="Z35" s="453" t="s">
        <v>2248</v>
      </c>
      <c r="AA35" s="463">
        <v>4.9000000000000002E-2</v>
      </c>
      <c r="AB35" s="464">
        <v>3.5999999999999997E-2</v>
      </c>
      <c r="AC35" s="449">
        <v>8.9999999999999993E-3</v>
      </c>
      <c r="AD35" s="425"/>
      <c r="AE35" s="419" t="s">
        <v>2302</v>
      </c>
      <c r="AF35" s="458" t="s">
        <v>2283</v>
      </c>
      <c r="AQ35" s="419" t="s">
        <v>2302</v>
      </c>
      <c r="AR35" s="450" t="s">
        <v>2373</v>
      </c>
    </row>
    <row r="36" spans="1:44">
      <c r="A36" s="491" t="s">
        <v>2275</v>
      </c>
      <c r="B36" s="459">
        <v>6.5000000000000002E-2</v>
      </c>
      <c r="C36" s="460">
        <v>4.7E-2</v>
      </c>
      <c r="D36" s="460">
        <v>2.6000000000000002E-2</v>
      </c>
      <c r="E36" s="443">
        <v>0</v>
      </c>
      <c r="F36" s="461">
        <v>1.7999999999999999E-2</v>
      </c>
      <c r="G36" s="453" t="s">
        <v>2248</v>
      </c>
      <c r="H36" s="445">
        <v>0</v>
      </c>
      <c r="I36" s="459">
        <v>1.2999999999999999E-2</v>
      </c>
      <c r="J36" s="443">
        <v>0</v>
      </c>
      <c r="K36" s="462">
        <v>0.105</v>
      </c>
      <c r="L36" s="453" t="s">
        <v>2248</v>
      </c>
      <c r="M36" s="463">
        <v>8.6999999999999994E-2</v>
      </c>
      <c r="N36" s="463">
        <v>6.8999999999999992E-2</v>
      </c>
      <c r="O36" s="463">
        <v>9.1999999999999998E-2</v>
      </c>
      <c r="P36" s="463">
        <v>8.6999999999999994E-2</v>
      </c>
      <c r="Q36" s="453" t="s">
        <v>2248</v>
      </c>
      <c r="R36" s="453" t="s">
        <v>2248</v>
      </c>
      <c r="S36" s="463">
        <v>7.3999999999999996E-2</v>
      </c>
      <c r="T36" s="453" t="s">
        <v>2248</v>
      </c>
      <c r="U36" s="463">
        <v>6.5999999999999989E-2</v>
      </c>
      <c r="V36" s="463">
        <v>7.3999999999999996E-2</v>
      </c>
      <c r="W36" s="453" t="s">
        <v>2248</v>
      </c>
      <c r="X36" s="463">
        <v>5.2999999999999999E-2</v>
      </c>
      <c r="Y36" s="463">
        <v>5.6000000000000001E-2</v>
      </c>
      <c r="Z36" s="453" t="s">
        <v>2248</v>
      </c>
      <c r="AA36" s="463">
        <v>4.8000000000000001E-2</v>
      </c>
      <c r="AB36" s="464">
        <v>3.5000000000000003E-2</v>
      </c>
      <c r="AC36" s="449">
        <v>8.9999999999999993E-3</v>
      </c>
      <c r="AD36" s="425"/>
      <c r="AE36" s="419" t="s">
        <v>2303</v>
      </c>
      <c r="AF36" s="458" t="s">
        <v>2283</v>
      </c>
      <c r="AQ36" s="419" t="s">
        <v>2303</v>
      </c>
      <c r="AR36" s="450" t="s">
        <v>2373</v>
      </c>
    </row>
    <row r="37" spans="1:44" ht="14.25" thickBot="1">
      <c r="A37" s="491" t="s">
        <v>2276</v>
      </c>
      <c r="B37" s="494">
        <v>6.4000000000000001E-2</v>
      </c>
      <c r="C37" s="495">
        <v>4.7E-2</v>
      </c>
      <c r="D37" s="495">
        <v>2.6000000000000002E-2</v>
      </c>
      <c r="E37" s="496">
        <v>0</v>
      </c>
      <c r="F37" s="497">
        <v>1.7999999999999999E-2</v>
      </c>
      <c r="G37" s="498" t="s">
        <v>2248</v>
      </c>
      <c r="H37" s="499">
        <v>0</v>
      </c>
      <c r="I37" s="494">
        <v>1.2999999999999999E-2</v>
      </c>
      <c r="J37" s="496">
        <v>0</v>
      </c>
      <c r="K37" s="500">
        <v>0.104</v>
      </c>
      <c r="L37" s="498" t="s">
        <v>2248</v>
      </c>
      <c r="M37" s="501">
        <v>8.5999999999999993E-2</v>
      </c>
      <c r="N37" s="501">
        <v>6.8999999999999992E-2</v>
      </c>
      <c r="O37" s="501">
        <v>9.0999999999999998E-2</v>
      </c>
      <c r="P37" s="501">
        <v>8.6999999999999994E-2</v>
      </c>
      <c r="Q37" s="498" t="s">
        <v>2248</v>
      </c>
      <c r="R37" s="498" t="s">
        <v>2248</v>
      </c>
      <c r="S37" s="501">
        <v>7.3999999999999996E-2</v>
      </c>
      <c r="T37" s="498" t="s">
        <v>2248</v>
      </c>
      <c r="U37" s="501">
        <v>6.5999999999999989E-2</v>
      </c>
      <c r="V37" s="501">
        <v>7.2999999999999995E-2</v>
      </c>
      <c r="W37" s="498" t="s">
        <v>2248</v>
      </c>
      <c r="X37" s="501">
        <v>5.2999999999999999E-2</v>
      </c>
      <c r="Y37" s="501">
        <v>5.6000000000000001E-2</v>
      </c>
      <c r="Z37" s="498" t="s">
        <v>2248</v>
      </c>
      <c r="AA37" s="501">
        <v>4.8000000000000001E-2</v>
      </c>
      <c r="AB37" s="502">
        <v>3.5000000000000003E-2</v>
      </c>
      <c r="AC37" s="503">
        <v>8.9999999999999993E-3</v>
      </c>
      <c r="AD37" s="425"/>
      <c r="AE37" s="504" t="s">
        <v>2304</v>
      </c>
      <c r="AF37" s="505" t="s">
        <v>2283</v>
      </c>
      <c r="AQ37" s="504" t="s">
        <v>2304</v>
      </c>
      <c r="AR37" s="514" t="s">
        <v>2373</v>
      </c>
    </row>
    <row r="38" spans="1:44">
      <c r="K38" s="425"/>
      <c r="L38" s="425"/>
      <c r="M38" s="425"/>
      <c r="N38" s="425"/>
      <c r="O38" s="425"/>
      <c r="P38" s="425"/>
      <c r="Q38" s="425"/>
      <c r="R38" s="425"/>
      <c r="S38" s="425"/>
      <c r="T38" s="425"/>
      <c r="U38" s="425"/>
      <c r="V38" s="425"/>
      <c r="W38" s="425"/>
      <c r="X38" s="425"/>
      <c r="Y38" s="425"/>
      <c r="Z38" s="425"/>
      <c r="AA38" s="425"/>
      <c r="AB38" s="425"/>
      <c r="AC38" s="425"/>
      <c r="AD38" s="425"/>
    </row>
    <row r="39" spans="1:44">
      <c r="K39" s="425"/>
      <c r="L39" s="425"/>
      <c r="M39" s="425"/>
      <c r="N39" s="425"/>
      <c r="O39" s="425"/>
      <c r="P39" s="425"/>
      <c r="Q39" s="425"/>
      <c r="R39" s="425"/>
      <c r="S39" s="425"/>
      <c r="T39" s="425"/>
      <c r="U39" s="425"/>
      <c r="V39" s="425"/>
      <c r="W39" s="425"/>
      <c r="X39" s="425"/>
      <c r="Y39" s="425"/>
      <c r="Z39" s="425"/>
      <c r="AA39" s="425"/>
      <c r="AB39" s="425"/>
      <c r="AC39" s="425"/>
      <c r="AD39" s="425"/>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175" t="s">
        <v>2239</v>
      </c>
      <c r="C3" s="1174" t="s">
        <v>2240</v>
      </c>
      <c r="D3" s="1174" t="s">
        <v>2241</v>
      </c>
      <c r="E3" s="1174" t="s">
        <v>227</v>
      </c>
      <c r="F3" s="1176" t="s">
        <v>2067</v>
      </c>
      <c r="G3" s="1174" t="s">
        <v>2103</v>
      </c>
      <c r="H3" s="1174"/>
      <c r="I3" s="1174" t="s">
        <v>2104</v>
      </c>
      <c r="J3" s="1174"/>
      <c r="K3" s="1174" t="s">
        <v>2105</v>
      </c>
      <c r="L3" s="1174"/>
      <c r="M3" s="1179" t="s">
        <v>2037</v>
      </c>
      <c r="N3" s="1179" t="s">
        <v>2038</v>
      </c>
      <c r="O3" s="1179" t="s">
        <v>2039</v>
      </c>
      <c r="P3" s="1179" t="s">
        <v>2040</v>
      </c>
      <c r="Q3" s="1179" t="s">
        <v>2041</v>
      </c>
      <c r="R3" s="1179" t="s">
        <v>2042</v>
      </c>
      <c r="S3" s="1179" t="s">
        <v>2043</v>
      </c>
    </row>
    <row r="4" spans="2:19">
      <c r="B4" s="1175"/>
      <c r="C4" s="1174"/>
      <c r="D4" s="1174"/>
      <c r="E4" s="1174"/>
      <c r="F4" s="1177"/>
      <c r="G4" s="1174"/>
      <c r="H4" s="1174"/>
      <c r="I4" s="1174"/>
      <c r="J4" s="1174"/>
      <c r="K4" s="1174"/>
      <c r="L4" s="1174"/>
      <c r="M4" s="1179"/>
      <c r="N4" s="1179"/>
      <c r="O4" s="1179"/>
      <c r="P4" s="1179"/>
      <c r="Q4" s="1179"/>
      <c r="R4" s="1179"/>
      <c r="S4" s="1179"/>
    </row>
    <row r="5" spans="2:19">
      <c r="B5" s="1175"/>
      <c r="C5" s="1174"/>
      <c r="D5" s="1174"/>
      <c r="E5" s="1174"/>
      <c r="F5" s="1178"/>
      <c r="G5" s="1174"/>
      <c r="H5" s="1174"/>
      <c r="I5" s="1174"/>
      <c r="J5" s="1174"/>
      <c r="K5" s="1174"/>
      <c r="L5" s="1174"/>
      <c r="M5" s="1179"/>
      <c r="N5" s="1179"/>
      <c r="O5" s="1179"/>
      <c r="P5" s="1179"/>
      <c r="Q5" s="1179"/>
      <c r="R5" s="1179"/>
      <c r="S5" s="1179"/>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稲垣　宏祐</cp:lastModifiedBy>
  <cp:lastPrinted>2024-03-18T06:59:04Z</cp:lastPrinted>
  <dcterms:created xsi:type="dcterms:W3CDTF">2015-06-05T18:19:34Z</dcterms:created>
  <dcterms:modified xsi:type="dcterms:W3CDTF">2024-03-27T10:09:33Z</dcterms:modified>
</cp:coreProperties>
</file>